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CBI" sheetId="1" r:id="rId1"/>
    <sheet name="Coeff" sheetId="2" r:id="rId2"/>
    <sheet name="Time" sheetId="3" r:id="rId3"/>
  </sheets>
  <definedNames/>
  <calcPr fullCalcOnLoad="1" iterate="1" iterateCount="100" iterateDelta="0.0001"/>
</workbook>
</file>

<file path=xl/sharedStrings.xml><?xml version="1.0" encoding="utf-8"?>
<sst xmlns="http://schemas.openxmlformats.org/spreadsheetml/2006/main" count="222" uniqueCount="121">
  <si>
    <t>DON'T MODIFY THIS SHEET</t>
  </si>
  <si>
    <t xml:space="preserve">Ref A = </t>
  </si>
  <si>
    <t>Bar =</t>
  </si>
  <si>
    <t>ENTER SPEED</t>
  </si>
  <si>
    <t xml:space="preserve"> FOR FORCES</t>
  </si>
  <si>
    <t>INVALID   IGNORE</t>
  </si>
  <si>
    <t>For A2 operator only</t>
  </si>
  <si>
    <t>at 30 mph</t>
  </si>
  <si>
    <t>nominal</t>
  </si>
  <si>
    <t>mph</t>
  </si>
  <si>
    <t>WHEEL ONLY</t>
  </si>
  <si>
    <t>BIKE</t>
  </si>
  <si>
    <t>Comments</t>
  </si>
  <si>
    <t>Rider</t>
  </si>
  <si>
    <t>YAW</t>
  </si>
  <si>
    <t>Run#</t>
  </si>
  <si>
    <t>Point</t>
  </si>
  <si>
    <r>
      <t xml:space="preserve">Wind Axis   </t>
    </r>
    <r>
      <rPr>
        <sz val="12"/>
        <color indexed="9"/>
        <rFont val="Arial"/>
        <family val="2"/>
      </rPr>
      <t xml:space="preserve"> C</t>
    </r>
    <r>
      <rPr>
        <vertAlign val="subscript"/>
        <sz val="12"/>
        <color indexed="9"/>
        <rFont val="Arial"/>
        <family val="2"/>
      </rPr>
      <t>D</t>
    </r>
  </si>
  <si>
    <r>
      <t>Wind Axis</t>
    </r>
    <r>
      <rPr>
        <sz val="12"/>
        <color indexed="9"/>
        <rFont val="Arial"/>
        <family val="2"/>
      </rPr>
      <t xml:space="preserve"> C</t>
    </r>
    <r>
      <rPr>
        <vertAlign val="subscript"/>
        <sz val="12"/>
        <color indexed="9"/>
        <rFont val="Arial"/>
        <family val="2"/>
      </rPr>
      <t>D</t>
    </r>
    <r>
      <rPr>
        <sz val="12"/>
        <color indexed="9"/>
        <rFont val="Arial"/>
        <family val="2"/>
      </rPr>
      <t>A</t>
    </r>
  </si>
  <si>
    <r>
      <t xml:space="preserve">Wind Axis   </t>
    </r>
    <r>
      <rPr>
        <sz val="12"/>
        <color indexed="9"/>
        <rFont val="Arial"/>
        <family val="2"/>
      </rPr>
      <t xml:space="preserve"> C</t>
    </r>
    <r>
      <rPr>
        <vertAlign val="subscript"/>
        <sz val="12"/>
        <color indexed="9"/>
        <rFont val="Arial"/>
        <family val="2"/>
      </rPr>
      <t>S</t>
    </r>
  </si>
  <si>
    <r>
      <t>Wind Axis</t>
    </r>
    <r>
      <rPr>
        <sz val="12"/>
        <color indexed="9"/>
        <rFont val="Arial"/>
        <family val="2"/>
      </rPr>
      <t xml:space="preserve"> C</t>
    </r>
    <r>
      <rPr>
        <vertAlign val="subscript"/>
        <sz val="12"/>
        <color indexed="9"/>
        <rFont val="Arial"/>
        <family val="2"/>
      </rPr>
      <t>S</t>
    </r>
    <r>
      <rPr>
        <sz val="12"/>
        <color indexed="9"/>
        <rFont val="Arial"/>
        <family val="2"/>
      </rPr>
      <t>A</t>
    </r>
  </si>
  <si>
    <t>RAW Drag Grams</t>
  </si>
  <si>
    <t>RAW Side F Grams</t>
  </si>
  <si>
    <t>RAW Side R Grams</t>
  </si>
  <si>
    <r>
      <t xml:space="preserve">Body Axis  </t>
    </r>
    <r>
      <rPr>
        <sz val="12"/>
        <color indexed="9"/>
        <rFont val="Arial"/>
        <family val="2"/>
      </rPr>
      <t xml:space="preserve">  C</t>
    </r>
    <r>
      <rPr>
        <vertAlign val="subscript"/>
        <sz val="12"/>
        <color indexed="9"/>
        <rFont val="Arial"/>
        <family val="2"/>
      </rPr>
      <t>D</t>
    </r>
  </si>
  <si>
    <r>
      <t xml:space="preserve">Body Axis </t>
    </r>
    <r>
      <rPr>
        <sz val="12"/>
        <color indexed="9"/>
        <rFont val="Arial"/>
        <family val="2"/>
      </rPr>
      <t xml:space="preserve">   C</t>
    </r>
    <r>
      <rPr>
        <vertAlign val="subscript"/>
        <sz val="12"/>
        <color indexed="9"/>
        <rFont val="Arial"/>
        <family val="2"/>
      </rPr>
      <t>D</t>
    </r>
    <r>
      <rPr>
        <sz val="12"/>
        <color indexed="9"/>
        <rFont val="Arial"/>
        <family val="2"/>
      </rPr>
      <t>A</t>
    </r>
  </si>
  <si>
    <r>
      <t xml:space="preserve">Body Axis  </t>
    </r>
    <r>
      <rPr>
        <sz val="12"/>
        <color indexed="9"/>
        <rFont val="Arial"/>
        <family val="2"/>
      </rPr>
      <t xml:space="preserve">  C</t>
    </r>
    <r>
      <rPr>
        <vertAlign val="subscript"/>
        <sz val="12"/>
        <color indexed="9"/>
        <rFont val="Arial"/>
        <family val="2"/>
      </rPr>
      <t>S</t>
    </r>
  </si>
  <si>
    <r>
      <t xml:space="preserve">Body Axis </t>
    </r>
    <r>
      <rPr>
        <sz val="12"/>
        <color indexed="9"/>
        <rFont val="Arial"/>
        <family val="2"/>
      </rPr>
      <t xml:space="preserve">   C</t>
    </r>
    <r>
      <rPr>
        <vertAlign val="subscript"/>
        <sz val="12"/>
        <color indexed="9"/>
        <rFont val="Arial"/>
        <family val="2"/>
      </rPr>
      <t>S</t>
    </r>
    <r>
      <rPr>
        <sz val="12"/>
        <color indexed="9"/>
        <rFont val="Arial"/>
        <family val="2"/>
      </rPr>
      <t>A</t>
    </r>
  </si>
  <si>
    <t>Body Axis Drag grams</t>
  </si>
  <si>
    <t>Body Axis    Side F grams</t>
  </si>
  <si>
    <t>Q    PSF</t>
  </si>
  <si>
    <t>Q       (InH20)</t>
  </si>
  <si>
    <t>Tunnel  Test  Speed     ( MPH )</t>
  </si>
  <si>
    <t>Body Axis Aero  Watts</t>
  </si>
  <si>
    <r>
      <t>Body Axis C</t>
    </r>
    <r>
      <rPr>
        <vertAlign val="subscript"/>
        <sz val="1"/>
        <color indexed="10"/>
        <rFont val="Arial"/>
        <family val="2"/>
      </rPr>
      <t>o</t>
    </r>
    <r>
      <rPr>
        <sz val="1"/>
        <color indexed="10"/>
        <rFont val="Arial"/>
        <family val="2"/>
      </rPr>
      <t>P fwd of ctrBody Axis C</t>
    </r>
    <r>
      <rPr>
        <vertAlign val="subscript"/>
        <sz val="1"/>
        <color indexed="10"/>
        <rFont val="Arial"/>
        <family val="2"/>
      </rPr>
      <t>o</t>
    </r>
    <r>
      <rPr>
        <sz val="1"/>
        <color indexed="10"/>
        <rFont val="Arial"/>
        <family val="2"/>
      </rPr>
      <t>P fwd of ctrBody Axis C</t>
    </r>
    <r>
      <rPr>
        <vertAlign val="subscript"/>
        <sz val="1"/>
        <color indexed="10"/>
        <rFont val="Arial"/>
        <family val="2"/>
      </rPr>
      <t>o</t>
    </r>
    <r>
      <rPr>
        <sz val="1"/>
        <color indexed="10"/>
        <rFont val="Arial"/>
        <family val="2"/>
      </rPr>
      <t>P fwd of ctrBody Axis C</t>
    </r>
    <r>
      <rPr>
        <vertAlign val="subscript"/>
        <sz val="1"/>
        <color indexed="10"/>
        <rFont val="Arial"/>
        <family val="2"/>
      </rPr>
      <t>o</t>
    </r>
    <r>
      <rPr>
        <sz val="1"/>
        <color indexed="10"/>
        <rFont val="Arial"/>
        <family val="2"/>
      </rPr>
      <t>P fwd of ctrBody Axis C</t>
    </r>
    <r>
      <rPr>
        <vertAlign val="subscript"/>
        <sz val="1"/>
        <color indexed="10"/>
        <rFont val="Arial"/>
        <family val="2"/>
      </rPr>
      <t>o</t>
    </r>
    <r>
      <rPr>
        <sz val="1"/>
        <color indexed="10"/>
        <rFont val="Arial"/>
        <family val="2"/>
      </rPr>
      <t>P fwd of ctrBody Axis C</t>
    </r>
    <r>
      <rPr>
        <vertAlign val="subscript"/>
        <sz val="1"/>
        <color indexed="10"/>
        <rFont val="Arial"/>
        <family val="2"/>
      </rPr>
      <t>o</t>
    </r>
    <r>
      <rPr>
        <sz val="1"/>
        <color indexed="10"/>
        <rFont val="Arial"/>
        <family val="2"/>
      </rPr>
      <t>P fwd of ctr</t>
    </r>
  </si>
  <si>
    <r>
      <t>Body Axis C</t>
    </r>
    <r>
      <rPr>
        <vertAlign val="subscript"/>
        <sz val="1"/>
        <color indexed="10"/>
        <rFont val="Arial"/>
        <family val="2"/>
      </rPr>
      <t>O</t>
    </r>
    <r>
      <rPr>
        <sz val="1"/>
        <color indexed="10"/>
        <rFont val="Arial"/>
        <family val="2"/>
      </rPr>
      <t>P fwd of rr axleBody Axis C</t>
    </r>
    <r>
      <rPr>
        <vertAlign val="subscript"/>
        <sz val="1"/>
        <color indexed="10"/>
        <rFont val="Arial"/>
        <family val="2"/>
      </rPr>
      <t>O</t>
    </r>
    <r>
      <rPr>
        <sz val="1"/>
        <color indexed="10"/>
        <rFont val="Arial"/>
        <family val="2"/>
      </rPr>
      <t>P fwd of rr axleBody Axis C</t>
    </r>
    <r>
      <rPr>
        <vertAlign val="subscript"/>
        <sz val="1"/>
        <color indexed="10"/>
        <rFont val="Arial"/>
        <family val="2"/>
      </rPr>
      <t>O</t>
    </r>
    <r>
      <rPr>
        <sz val="1"/>
        <color indexed="10"/>
        <rFont val="Arial"/>
        <family val="2"/>
      </rPr>
      <t>P fwd of rr axleBody Axis C</t>
    </r>
    <r>
      <rPr>
        <vertAlign val="subscript"/>
        <sz val="1"/>
        <color indexed="10"/>
        <rFont val="Arial"/>
        <family val="2"/>
      </rPr>
      <t>O</t>
    </r>
    <r>
      <rPr>
        <sz val="1"/>
        <color indexed="10"/>
        <rFont val="Arial"/>
        <family val="2"/>
      </rPr>
      <t>P fwd of rr axleBody Axis C</t>
    </r>
    <r>
      <rPr>
        <vertAlign val="subscript"/>
        <sz val="1"/>
        <color indexed="10"/>
        <rFont val="Arial"/>
        <family val="2"/>
      </rPr>
      <t>O</t>
    </r>
    <r>
      <rPr>
        <sz val="1"/>
        <color indexed="10"/>
        <rFont val="Arial"/>
        <family val="2"/>
      </rPr>
      <t>P fwd of rr axleBody Axis C</t>
    </r>
    <r>
      <rPr>
        <vertAlign val="subscript"/>
        <sz val="1"/>
        <color indexed="10"/>
        <rFont val="Arial"/>
        <family val="2"/>
      </rPr>
      <t>O</t>
    </r>
    <r>
      <rPr>
        <sz val="1"/>
        <color indexed="10"/>
        <rFont val="Arial"/>
        <family val="2"/>
      </rPr>
      <t>P fwd of rr axle</t>
    </r>
  </si>
  <si>
    <t>RIDER SPEED</t>
  </si>
  <si>
    <t>RIDER WATTS</t>
  </si>
  <si>
    <t>Baseline</t>
  </si>
  <si>
    <t>Y</t>
  </si>
  <si>
    <t>AVG</t>
  </si>
  <si>
    <t>Helmet A</t>
  </si>
  <si>
    <t xml:space="preserve">Helmet B </t>
  </si>
  <si>
    <t>Head Position A</t>
  </si>
  <si>
    <t xml:space="preserve">Helmet C </t>
  </si>
  <si>
    <t>Helmet D</t>
  </si>
  <si>
    <t>Bar Adjustment</t>
  </si>
  <si>
    <t>Hand Position A</t>
  </si>
  <si>
    <t>Hand Position B</t>
  </si>
  <si>
    <t>Bar Adjustment B</t>
  </si>
  <si>
    <t>Head Position B</t>
  </si>
  <si>
    <t>INPUTS: RED (STANDARD)</t>
  </si>
  <si>
    <t>METRIC CALCULATED</t>
  </si>
  <si>
    <r>
      <t xml:space="preserve">A.  </t>
    </r>
    <r>
      <rPr>
        <sz val="9"/>
        <color indexed="9"/>
        <rFont val="Sylfaen"/>
        <family val="1"/>
      </rPr>
      <t xml:space="preserve">           </t>
    </r>
    <r>
      <rPr>
        <sz val="12"/>
        <color indexed="9"/>
        <rFont val="Sylfaen"/>
        <family val="1"/>
      </rPr>
      <t>C</t>
    </r>
    <r>
      <rPr>
        <vertAlign val="subscript"/>
        <sz val="14"/>
        <color indexed="9"/>
        <rFont val="Sylfaen"/>
        <family val="1"/>
      </rPr>
      <t>D</t>
    </r>
    <r>
      <rPr>
        <sz val="12"/>
        <color indexed="9"/>
        <rFont val="Sylfaen"/>
        <family val="1"/>
      </rPr>
      <t>A ft</t>
    </r>
    <r>
      <rPr>
        <vertAlign val="superscript"/>
        <sz val="14"/>
        <color indexed="9"/>
        <rFont val="Sylfaen"/>
        <family val="1"/>
      </rPr>
      <t>2</t>
    </r>
  </si>
  <si>
    <r>
      <t xml:space="preserve">B.  </t>
    </r>
    <r>
      <rPr>
        <sz val="9"/>
        <color indexed="9"/>
        <rFont val="Sylfaen"/>
        <family val="1"/>
      </rPr>
      <t xml:space="preserve">           </t>
    </r>
    <r>
      <rPr>
        <sz val="12"/>
        <color indexed="9"/>
        <rFont val="Sylfaen"/>
        <family val="1"/>
      </rPr>
      <t>C</t>
    </r>
    <r>
      <rPr>
        <vertAlign val="subscript"/>
        <sz val="14"/>
        <color indexed="9"/>
        <rFont val="Sylfaen"/>
        <family val="1"/>
      </rPr>
      <t>D</t>
    </r>
    <r>
      <rPr>
        <sz val="12"/>
        <color indexed="9"/>
        <rFont val="Sylfaen"/>
        <family val="1"/>
      </rPr>
      <t>A ft</t>
    </r>
    <r>
      <rPr>
        <vertAlign val="superscript"/>
        <sz val="14"/>
        <color indexed="9"/>
        <rFont val="Sylfaen"/>
        <family val="1"/>
      </rPr>
      <t>2</t>
    </r>
  </si>
  <si>
    <t>Mass Rider   lbs</t>
  </si>
  <si>
    <t>Mass Bike   lbs</t>
  </si>
  <si>
    <t>Mass Total   lbs</t>
  </si>
  <si>
    <t>Speed       mph</t>
  </si>
  <si>
    <t>Speed       ft/sec</t>
  </si>
  <si>
    <t>Distance  miles</t>
  </si>
  <si>
    <r>
      <t xml:space="preserve">Density </t>
    </r>
    <r>
      <rPr>
        <sz val="12"/>
        <color indexed="9"/>
        <rFont val="Sylfaen"/>
        <family val="1"/>
      </rPr>
      <t xml:space="preserve"> </t>
    </r>
    <r>
      <rPr>
        <sz val="11"/>
        <color indexed="9"/>
        <rFont val="Sylfaen"/>
        <family val="1"/>
      </rPr>
      <t xml:space="preserve">       </t>
    </r>
    <r>
      <rPr>
        <sz val="10"/>
        <color indexed="9"/>
        <rFont val="Sylfaen"/>
        <family val="1"/>
      </rPr>
      <t>slugs/ft</t>
    </r>
    <r>
      <rPr>
        <vertAlign val="superscript"/>
        <sz val="11"/>
        <color indexed="9"/>
        <rFont val="Sylfaen"/>
        <family val="1"/>
      </rPr>
      <t>3</t>
    </r>
  </si>
  <si>
    <t>Pressure    InHg</t>
  </si>
  <si>
    <r>
      <t xml:space="preserve">q   </t>
    </r>
    <r>
      <rPr>
        <sz val="11"/>
        <color indexed="9"/>
        <rFont val="Sylfaen"/>
        <family val="1"/>
      </rPr>
      <t xml:space="preserve">          lbs/ft</t>
    </r>
    <r>
      <rPr>
        <vertAlign val="superscript"/>
        <sz val="12"/>
        <color indexed="9"/>
        <rFont val="Sylfaen"/>
        <family val="1"/>
      </rPr>
      <t>2</t>
    </r>
  </si>
  <si>
    <r>
      <t xml:space="preserve">A.                </t>
    </r>
    <r>
      <rPr>
        <sz val="12"/>
        <rFont val="Sylfaen"/>
        <family val="1"/>
      </rPr>
      <t>C</t>
    </r>
    <r>
      <rPr>
        <vertAlign val="subscript"/>
        <sz val="14"/>
        <rFont val="Sylfaen"/>
        <family val="1"/>
      </rPr>
      <t>D</t>
    </r>
    <r>
      <rPr>
        <sz val="12"/>
        <rFont val="Sylfaen"/>
        <family val="1"/>
      </rPr>
      <t>A  m</t>
    </r>
    <r>
      <rPr>
        <vertAlign val="superscript"/>
        <sz val="14"/>
        <rFont val="Sylfaen"/>
        <family val="1"/>
      </rPr>
      <t>2</t>
    </r>
  </si>
  <si>
    <r>
      <t xml:space="preserve">B.                </t>
    </r>
    <r>
      <rPr>
        <sz val="12"/>
        <rFont val="Sylfaen"/>
        <family val="1"/>
      </rPr>
      <t>C</t>
    </r>
    <r>
      <rPr>
        <vertAlign val="subscript"/>
        <sz val="14"/>
        <rFont val="Sylfaen"/>
        <family val="1"/>
      </rPr>
      <t>D</t>
    </r>
    <r>
      <rPr>
        <sz val="12"/>
        <rFont val="Sylfaen"/>
        <family val="1"/>
      </rPr>
      <t>A  m</t>
    </r>
    <r>
      <rPr>
        <vertAlign val="superscript"/>
        <sz val="14"/>
        <rFont val="Sylfaen"/>
        <family val="1"/>
      </rPr>
      <t>2</t>
    </r>
  </si>
  <si>
    <t>Mass Rider   kg</t>
  </si>
  <si>
    <t>Mass Bike   kg</t>
  </si>
  <si>
    <t>Total Mass  kg</t>
  </si>
  <si>
    <t>Speed         kph</t>
  </si>
  <si>
    <t>Speed       m/sec</t>
  </si>
  <si>
    <t>Distance     km</t>
  </si>
  <si>
    <r>
      <t xml:space="preserve">Density </t>
    </r>
    <r>
      <rPr>
        <sz val="12"/>
        <rFont val="Sylfaen"/>
        <family val="1"/>
      </rPr>
      <t xml:space="preserve"> </t>
    </r>
    <r>
      <rPr>
        <sz val="11"/>
        <rFont val="Sylfaen"/>
        <family val="1"/>
      </rPr>
      <t xml:space="preserve">       </t>
    </r>
    <r>
      <rPr>
        <sz val="10"/>
        <rFont val="Sylfaen"/>
        <family val="1"/>
      </rPr>
      <t>kg/m</t>
    </r>
    <r>
      <rPr>
        <vertAlign val="superscript"/>
        <sz val="11"/>
        <rFont val="Sylfaen"/>
        <family val="1"/>
      </rPr>
      <t>3</t>
    </r>
  </si>
  <si>
    <t>Pressure    kPa</t>
  </si>
  <si>
    <r>
      <t xml:space="preserve">q   </t>
    </r>
    <r>
      <rPr>
        <sz val="11"/>
        <rFont val="Sylfaen"/>
        <family val="1"/>
      </rPr>
      <t xml:space="preserve">          kg/m2</t>
    </r>
  </si>
  <si>
    <r>
      <t>C</t>
    </r>
    <r>
      <rPr>
        <vertAlign val="subscript"/>
        <sz val="14"/>
        <rFont val="Sylfaen"/>
        <family val="1"/>
      </rPr>
      <t>RR</t>
    </r>
  </si>
  <si>
    <r>
      <t>C</t>
    </r>
    <r>
      <rPr>
        <vertAlign val="subscript"/>
        <sz val="14"/>
        <rFont val="Sylfaen"/>
        <family val="1"/>
      </rPr>
      <t>BR</t>
    </r>
  </si>
  <si>
    <r>
      <t>D</t>
    </r>
    <r>
      <rPr>
        <sz val="12"/>
        <rFont val="Sylfaen"/>
        <family val="1"/>
      </rPr>
      <t xml:space="preserve"> CDA =</t>
    </r>
  </si>
  <si>
    <r>
      <t>%D</t>
    </r>
    <r>
      <rPr>
        <sz val="12"/>
        <rFont val="Sylfaen"/>
        <family val="1"/>
      </rPr>
      <t xml:space="preserve"> CDA =</t>
    </r>
  </si>
  <si>
    <r>
      <t>A.</t>
    </r>
    <r>
      <rPr>
        <sz val="12"/>
        <color indexed="9"/>
        <rFont val="Sylfaen"/>
        <family val="1"/>
      </rPr>
      <t xml:space="preserve"> CDA  ft</t>
    </r>
    <r>
      <rPr>
        <vertAlign val="superscript"/>
        <sz val="14"/>
        <color indexed="9"/>
        <rFont val="Sylfaen"/>
        <family val="1"/>
      </rPr>
      <t>2</t>
    </r>
  </si>
  <si>
    <r>
      <t>A.</t>
    </r>
    <r>
      <rPr>
        <sz val="12"/>
        <rFont val="Sylfaen"/>
        <family val="1"/>
      </rPr>
      <t xml:space="preserve"> CDA  m</t>
    </r>
    <r>
      <rPr>
        <vertAlign val="superscript"/>
        <sz val="14"/>
        <rFont val="Sylfaen"/>
        <family val="1"/>
      </rPr>
      <t>2</t>
    </r>
  </si>
  <si>
    <t>Normalized to Standard NACA day</t>
  </si>
  <si>
    <t>Drag (lbs) =</t>
  </si>
  <si>
    <t>Drag (grams) =</t>
  </si>
  <si>
    <t>AeroPower (W) =</t>
  </si>
  <si>
    <t>Aero-HP =</t>
  </si>
  <si>
    <t>Aero-Watts =</t>
  </si>
  <si>
    <t>RollingResistance (W) =</t>
  </si>
  <si>
    <t>Est. Total HP =</t>
  </si>
  <si>
    <t>Est. Total Watts =</t>
  </si>
  <si>
    <t>BearingResitance (W) =</t>
  </si>
  <si>
    <t>CHECK =</t>
  </si>
  <si>
    <t>Estimated Total (W) =</t>
  </si>
  <si>
    <r>
      <t>B.</t>
    </r>
    <r>
      <rPr>
        <sz val="12"/>
        <color indexed="9"/>
        <rFont val="Sylfaen"/>
        <family val="1"/>
      </rPr>
      <t xml:space="preserve"> CDA  ft</t>
    </r>
    <r>
      <rPr>
        <vertAlign val="superscript"/>
        <sz val="14"/>
        <color indexed="9"/>
        <rFont val="Sylfaen"/>
        <family val="1"/>
      </rPr>
      <t>2</t>
    </r>
  </si>
  <si>
    <r>
      <t>B.</t>
    </r>
    <r>
      <rPr>
        <sz val="12"/>
        <rFont val="Sylfaen"/>
        <family val="1"/>
      </rPr>
      <t xml:space="preserve"> CDA  m</t>
    </r>
    <r>
      <rPr>
        <vertAlign val="superscript"/>
        <sz val="14"/>
        <rFont val="Sylfaen"/>
        <family val="1"/>
      </rPr>
      <t>2</t>
    </r>
  </si>
  <si>
    <t>Input MPH</t>
  </si>
  <si>
    <t>KPH</t>
  </si>
  <si>
    <t>CONSTANT SPEED==&gt;</t>
  </si>
  <si>
    <r>
      <t>D</t>
    </r>
    <r>
      <rPr>
        <sz val="12"/>
        <rFont val="Sylfaen"/>
        <family val="1"/>
      </rPr>
      <t xml:space="preserve"> Drag (lbs) =</t>
    </r>
  </si>
  <si>
    <r>
      <t>D</t>
    </r>
    <r>
      <rPr>
        <sz val="12"/>
        <rFont val="Sylfaen"/>
        <family val="1"/>
      </rPr>
      <t xml:space="preserve"> Drag (grams) =</t>
    </r>
  </si>
  <si>
    <r>
      <t>D</t>
    </r>
    <r>
      <rPr>
        <sz val="12"/>
        <rFont val="Sylfaen"/>
        <family val="1"/>
      </rPr>
      <t xml:space="preserve"> HP =</t>
    </r>
  </si>
  <si>
    <r>
      <t>D</t>
    </r>
    <r>
      <rPr>
        <sz val="12"/>
        <rFont val="Sylfaen"/>
        <family val="1"/>
      </rPr>
      <t xml:space="preserve"> Watts =</t>
    </r>
  </si>
  <si>
    <t>CONSTANT POWER==&gt;</t>
  </si>
  <si>
    <t>Velocity A. (mph) =</t>
  </si>
  <si>
    <t>Velocity A. (kph) =</t>
  </si>
  <si>
    <t>Velocity B. (mph) =</t>
  </si>
  <si>
    <t>Velocity B. (kph) =</t>
  </si>
  <si>
    <r>
      <t>D</t>
    </r>
    <r>
      <rPr>
        <sz val="12"/>
        <rFont val="Sylfaen"/>
        <family val="1"/>
      </rPr>
      <t xml:space="preserve"> Velocity (mph) =</t>
    </r>
  </si>
  <si>
    <r>
      <t>D</t>
    </r>
    <r>
      <rPr>
        <sz val="12"/>
        <rFont val="Sylfaen"/>
        <family val="1"/>
      </rPr>
      <t xml:space="preserve"> Velocity (kph) =</t>
    </r>
  </si>
  <si>
    <t>Input</t>
  </si>
  <si>
    <t>OutPut</t>
  </si>
  <si>
    <t>Total Time (min) A =</t>
  </si>
  <si>
    <t>Kilometer =</t>
  </si>
  <si>
    <r>
      <t>.</t>
    </r>
    <r>
      <rPr>
        <sz val="12"/>
        <rFont val="Sylfaen"/>
        <family val="1"/>
      </rPr>
      <t>= Miles</t>
    </r>
  </si>
  <si>
    <t>Total Time (min) B =</t>
  </si>
  <si>
    <r>
      <t>D</t>
    </r>
    <r>
      <rPr>
        <sz val="12"/>
        <rFont val="Sylfaen"/>
        <family val="1"/>
      </rPr>
      <t xml:space="preserve"> Time =</t>
    </r>
  </si>
  <si>
    <t>Kilograms =</t>
  </si>
  <si>
    <r>
      <t>.</t>
    </r>
    <r>
      <rPr>
        <sz val="12"/>
        <rFont val="Sylfaen"/>
        <family val="1"/>
      </rPr>
      <t>=LBS</t>
    </r>
  </si>
  <si>
    <t>KPH =</t>
  </si>
  <si>
    <r>
      <t>.</t>
    </r>
    <r>
      <rPr>
        <sz val="12"/>
        <rFont val="Sylfaen"/>
        <family val="1"/>
      </rPr>
      <t>= MPH</t>
    </r>
  </si>
  <si>
    <t>HP = ((Cd*A*1/2*rho*V^3)/550) + (mass*(Crr+Cbr)*V/550)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</si>
</sst>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GENERAL"/>
    <numFmt numFmtId="166" formatCode="0.0"/>
    <numFmt numFmtId="167" formatCode="0"/>
    <numFmt numFmtId="168" formatCode="DDDD&quot;, &quot;MMMM\ DD&quot;, &quot;YYYY"/>
    <numFmt numFmtId="169" formatCode=".000"/>
    <numFmt numFmtId="170" formatCode="0.00"/>
    <numFmt numFmtId="171" formatCode=".0"/>
    <numFmt numFmtId="172" formatCode="@"/>
    <numFmt numFmtId="173" formatCode=".00"/>
    <numFmt numFmtId="174" formatCode="H:MM"/>
    <numFmt numFmtId="175" formatCode="0.000"/>
    <numFmt numFmtId="176" formatCode="0.0%"/>
    <numFmt numFmtId="177" formatCode="H:MM:SS;@"/>
    <numFmt numFmtId="178" formatCode="H:MM:SS"/>
  </numFmts>
  <fonts count="51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"/>
      <color indexed="10"/>
      <name val="Arial"/>
      <family val="2"/>
    </font>
    <font>
      <b/>
      <sz val="12"/>
      <color indexed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vertAlign val="subscript"/>
      <sz val="12"/>
      <color indexed="9"/>
      <name val="Arial"/>
      <family val="2"/>
    </font>
    <font>
      <sz val="10"/>
      <color indexed="8"/>
      <name val="Arial"/>
      <family val="2"/>
    </font>
    <font>
      <vertAlign val="subscript"/>
      <sz val="1"/>
      <color indexed="10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22"/>
      <name val="Arial"/>
      <family val="2"/>
    </font>
    <font>
      <sz val="8"/>
      <color indexed="22"/>
      <name val="Arial"/>
      <family val="2"/>
    </font>
    <font>
      <sz val="8"/>
      <color indexed="8"/>
      <name val="Arial"/>
      <family val="2"/>
    </font>
    <font>
      <sz val="10"/>
      <color indexed="55"/>
      <name val="Arial"/>
      <family val="2"/>
    </font>
    <font>
      <u val="single"/>
      <sz val="10"/>
      <name val="Arial"/>
      <family val="2"/>
    </font>
    <font>
      <sz val="12"/>
      <name val="Sylfaen"/>
      <family val="1"/>
    </font>
    <font>
      <i/>
      <sz val="12"/>
      <color indexed="10"/>
      <name val="Sylfaen"/>
      <family val="1"/>
    </font>
    <font>
      <i/>
      <sz val="12"/>
      <name val="Sylfaen"/>
      <family val="1"/>
    </font>
    <font>
      <sz val="9"/>
      <color indexed="10"/>
      <name val="Sylfaen"/>
      <family val="1"/>
    </font>
    <font>
      <sz val="9"/>
      <color indexed="9"/>
      <name val="Sylfaen"/>
      <family val="1"/>
    </font>
    <font>
      <sz val="12"/>
      <color indexed="9"/>
      <name val="Sylfaen"/>
      <family val="1"/>
    </font>
    <font>
      <vertAlign val="subscript"/>
      <sz val="14"/>
      <color indexed="9"/>
      <name val="Sylfaen"/>
      <family val="1"/>
    </font>
    <font>
      <vertAlign val="superscript"/>
      <sz val="14"/>
      <color indexed="9"/>
      <name val="Sylfaen"/>
      <family val="1"/>
    </font>
    <font>
      <sz val="10"/>
      <color indexed="9"/>
      <name val="Sylfaen"/>
      <family val="1"/>
    </font>
    <font>
      <sz val="11"/>
      <color indexed="9"/>
      <name val="Sylfaen"/>
      <family val="1"/>
    </font>
    <font>
      <vertAlign val="superscript"/>
      <sz val="11"/>
      <color indexed="9"/>
      <name val="Sylfaen"/>
      <family val="1"/>
    </font>
    <font>
      <vertAlign val="superscript"/>
      <sz val="12"/>
      <color indexed="9"/>
      <name val="Sylfaen"/>
      <family val="1"/>
    </font>
    <font>
      <sz val="9"/>
      <name val="Sylfaen"/>
      <family val="1"/>
    </font>
    <font>
      <vertAlign val="subscript"/>
      <sz val="14"/>
      <name val="Sylfaen"/>
      <family val="1"/>
    </font>
    <font>
      <vertAlign val="superscript"/>
      <sz val="14"/>
      <name val="Sylfaen"/>
      <family val="1"/>
    </font>
    <font>
      <sz val="10"/>
      <name val="Sylfaen"/>
      <family val="1"/>
    </font>
    <font>
      <sz val="11"/>
      <name val="Sylfaen"/>
      <family val="1"/>
    </font>
    <font>
      <vertAlign val="superscript"/>
      <sz val="11"/>
      <name val="Sylfaen"/>
      <family val="1"/>
    </font>
    <font>
      <sz val="12"/>
      <color indexed="10"/>
      <name val="Sylfaen"/>
      <family val="1"/>
    </font>
    <font>
      <sz val="14"/>
      <name val="Symbol"/>
      <family val="1"/>
    </font>
    <font>
      <sz val="8"/>
      <color indexed="22"/>
      <name val="Sylfaen"/>
      <family val="1"/>
    </font>
    <font>
      <sz val="10"/>
      <color indexed="22"/>
      <name val="Sylfaen"/>
      <family val="1"/>
    </font>
    <font>
      <b/>
      <sz val="12"/>
      <name val="Sylfaen"/>
      <family val="1"/>
    </font>
    <font>
      <sz val="12"/>
      <color indexed="22"/>
      <name val="Sylfaen"/>
      <family val="1"/>
    </font>
    <font>
      <sz val="9"/>
      <color indexed="22"/>
      <name val="Sylfaen"/>
      <family val="1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175">
    <xf numFmtId="164" fontId="0" fillId="0" borderId="0" xfId="0" applyAlignment="1">
      <alignment/>
    </xf>
    <xf numFmtId="164" fontId="0" fillId="0" borderId="0" xfId="21">
      <alignment/>
      <protection/>
    </xf>
    <xf numFmtId="164" fontId="0" fillId="0" borderId="0" xfId="21" applyFont="1" applyAlignment="1">
      <alignment horizontal="left"/>
      <protection/>
    </xf>
    <xf numFmtId="164" fontId="2" fillId="0" borderId="0" xfId="21" applyFont="1" applyFill="1" applyAlignment="1">
      <alignment horizontal="center"/>
      <protection/>
    </xf>
    <xf numFmtId="166" fontId="2" fillId="0" borderId="0" xfId="21" applyNumberFormat="1" applyFont="1" applyFill="1" applyAlignment="1">
      <alignment horizontal="center"/>
      <protection/>
    </xf>
    <xf numFmtId="164" fontId="3" fillId="0" borderId="0" xfId="21" applyFont="1" applyAlignment="1">
      <alignment horizontal="center"/>
      <protection/>
    </xf>
    <xf numFmtId="164" fontId="4" fillId="0" borderId="0" xfId="21" applyFont="1" applyAlignment="1">
      <alignment horizontal="center"/>
      <protection/>
    </xf>
    <xf numFmtId="166" fontId="0" fillId="0" borderId="0" xfId="21" applyNumberFormat="1" applyFont="1" applyAlignment="1">
      <alignment horizontal="center"/>
      <protection/>
    </xf>
    <xf numFmtId="167" fontId="0" fillId="0" borderId="0" xfId="21" applyNumberFormat="1" applyFont="1" applyAlignment="1">
      <alignment horizontal="center"/>
      <protection/>
    </xf>
    <xf numFmtId="164" fontId="0" fillId="0" borderId="0" xfId="21" applyFont="1" applyAlignment="1">
      <alignment horizontal="center"/>
      <protection/>
    </xf>
    <xf numFmtId="168" fontId="0" fillId="0" borderId="0" xfId="21" applyNumberFormat="1" applyFont="1" applyAlignment="1">
      <alignment horizontal="left"/>
      <protection/>
    </xf>
    <xf numFmtId="164" fontId="3" fillId="0" borderId="0" xfId="21" applyFont="1" applyBorder="1" applyAlignment="1">
      <alignment horizontal="center"/>
      <protection/>
    </xf>
    <xf numFmtId="164" fontId="4" fillId="0" borderId="0" xfId="21" applyFont="1" applyAlignment="1">
      <alignment/>
      <protection/>
    </xf>
    <xf numFmtId="166" fontId="5" fillId="0" borderId="0" xfId="21" applyNumberFormat="1" applyFont="1" applyFill="1" applyAlignment="1">
      <alignment horizontal="center"/>
      <protection/>
    </xf>
    <xf numFmtId="166" fontId="5" fillId="0" borderId="1" xfId="21" applyNumberFormat="1" applyFont="1" applyFill="1" applyBorder="1" applyAlignment="1">
      <alignment horizontal="center"/>
      <protection/>
    </xf>
    <xf numFmtId="166" fontId="2" fillId="0" borderId="1" xfId="21" applyNumberFormat="1" applyFont="1" applyFill="1" applyBorder="1" applyAlignment="1">
      <alignment horizontal="center"/>
      <protection/>
    </xf>
    <xf numFmtId="169" fontId="6" fillId="2" borderId="0" xfId="21" applyNumberFormat="1" applyFont="1" applyFill="1" applyAlignment="1">
      <alignment horizontal="right"/>
      <protection/>
    </xf>
    <xf numFmtId="167" fontId="6" fillId="2" borderId="0" xfId="21" applyNumberFormat="1" applyFont="1" applyFill="1" applyAlignment="1">
      <alignment horizontal="left"/>
      <protection/>
    </xf>
    <xf numFmtId="166" fontId="7" fillId="3" borderId="0" xfId="21" applyNumberFormat="1" applyFont="1" applyFill="1" applyAlignment="1">
      <alignment horizontal="left"/>
      <protection/>
    </xf>
    <xf numFmtId="164" fontId="4" fillId="3" borderId="0" xfId="21" applyFont="1" applyFill="1" applyAlignment="1">
      <alignment horizontal="center"/>
      <protection/>
    </xf>
    <xf numFmtId="164" fontId="4" fillId="0" borderId="0" xfId="21" applyFont="1" applyFill="1" applyBorder="1" applyAlignment="1">
      <alignment/>
      <protection/>
    </xf>
    <xf numFmtId="167" fontId="0" fillId="0" borderId="0" xfId="21" applyNumberFormat="1" applyFont="1" applyFill="1" applyAlignment="1">
      <alignment horizontal="center"/>
      <protection/>
    </xf>
    <xf numFmtId="164" fontId="4" fillId="0" borderId="0" xfId="21" applyFont="1" applyFill="1" applyBorder="1" applyAlignment="1">
      <alignment horizontal="right"/>
      <protection/>
    </xf>
    <xf numFmtId="164" fontId="4" fillId="0" borderId="0" xfId="21" applyFont="1">
      <alignment/>
      <protection/>
    </xf>
    <xf numFmtId="170" fontId="0" fillId="0" borderId="0" xfId="21" applyNumberFormat="1" applyFont="1" applyFill="1" applyBorder="1" applyAlignment="1">
      <alignment horizontal="center"/>
      <protection/>
    </xf>
    <xf numFmtId="169" fontId="0" fillId="0" borderId="0" xfId="21" applyNumberFormat="1" applyFont="1" applyBorder="1">
      <alignment/>
      <protection/>
    </xf>
    <xf numFmtId="169" fontId="6" fillId="0" borderId="0" xfId="21" applyNumberFormat="1" applyFont="1" applyBorder="1">
      <alignment/>
      <protection/>
    </xf>
    <xf numFmtId="170" fontId="0" fillId="0" borderId="0" xfId="21" applyNumberFormat="1" applyFont="1" applyBorder="1">
      <alignment/>
      <protection/>
    </xf>
    <xf numFmtId="167" fontId="8" fillId="0" borderId="2" xfId="21" applyNumberFormat="1" applyFont="1" applyBorder="1">
      <alignment/>
      <protection/>
    </xf>
    <xf numFmtId="167" fontId="8" fillId="0" borderId="3" xfId="21" applyNumberFormat="1" applyFont="1" applyBorder="1">
      <alignment/>
      <protection/>
    </xf>
    <xf numFmtId="164" fontId="0" fillId="0" borderId="0" xfId="21" applyFont="1" applyBorder="1" applyAlignment="1">
      <alignment horizontal="right"/>
      <protection/>
    </xf>
    <xf numFmtId="164" fontId="0" fillId="0" borderId="4" xfId="21" applyFont="1" applyBorder="1" applyAlignment="1">
      <alignment horizontal="center"/>
      <protection/>
    </xf>
    <xf numFmtId="171" fontId="9" fillId="0" borderId="0" xfId="21" applyNumberFormat="1" applyFont="1" applyAlignment="1">
      <alignment horizontal="right"/>
      <protection/>
    </xf>
    <xf numFmtId="171" fontId="9" fillId="0" borderId="0" xfId="21" applyNumberFormat="1" applyFont="1" applyAlignment="1">
      <alignment horizontal="left"/>
      <protection/>
    </xf>
    <xf numFmtId="166" fontId="10" fillId="3" borderId="0" xfId="21" applyNumberFormat="1" applyFont="1" applyFill="1" applyAlignment="1">
      <alignment horizontal="center"/>
      <protection/>
    </xf>
    <xf numFmtId="166" fontId="0" fillId="0" borderId="0" xfId="21" applyNumberFormat="1" applyFont="1" applyBorder="1" applyAlignment="1">
      <alignment horizontal="left"/>
      <protection/>
    </xf>
    <xf numFmtId="167" fontId="0" fillId="0" borderId="0" xfId="21" applyNumberFormat="1" applyFont="1" applyBorder="1" applyAlignment="1">
      <alignment horizontal="center"/>
      <protection/>
    </xf>
    <xf numFmtId="167" fontId="0" fillId="0" borderId="0" xfId="21" applyNumberFormat="1" applyFont="1" applyBorder="1" applyAlignment="1">
      <alignment horizontal="right"/>
      <protection/>
    </xf>
    <xf numFmtId="164" fontId="0" fillId="0" borderId="0" xfId="21" applyFont="1" applyBorder="1" applyAlignment="1">
      <alignment horizontal="left"/>
      <protection/>
    </xf>
    <xf numFmtId="164" fontId="11" fillId="4" borderId="5" xfId="21" applyFont="1" applyFill="1" applyBorder="1" applyAlignment="1">
      <alignment horizontal="center" vertical="center"/>
      <protection/>
    </xf>
    <xf numFmtId="170" fontId="12" fillId="4" borderId="6" xfId="21" applyNumberFormat="1" applyFont="1" applyFill="1" applyBorder="1" applyAlignment="1">
      <alignment horizontal="center" vertical="center" textRotation="90"/>
      <protection/>
    </xf>
    <xf numFmtId="166" fontId="12" fillId="4" borderId="6" xfId="21" applyNumberFormat="1" applyFont="1" applyFill="1" applyBorder="1" applyAlignment="1">
      <alignment horizontal="center" vertical="center" textRotation="90"/>
      <protection/>
    </xf>
    <xf numFmtId="164" fontId="13" fillId="5" borderId="6" xfId="21" applyFont="1" applyFill="1" applyBorder="1" applyAlignment="1">
      <alignment horizontal="center" vertical="center" textRotation="90"/>
      <protection/>
    </xf>
    <xf numFmtId="164" fontId="13" fillId="5" borderId="7" xfId="21" applyFont="1" applyFill="1" applyBorder="1" applyAlignment="1">
      <alignment horizontal="center" vertical="center" textRotation="90"/>
      <protection/>
    </xf>
    <xf numFmtId="169" fontId="14" fillId="4" borderId="6" xfId="21" applyNumberFormat="1" applyFont="1" applyFill="1" applyBorder="1" applyAlignment="1">
      <alignment horizontal="center" vertical="center" wrapText="1"/>
      <protection/>
    </xf>
    <xf numFmtId="170" fontId="14" fillId="4" borderId="6" xfId="21" applyNumberFormat="1" applyFont="1" applyFill="1" applyBorder="1" applyAlignment="1">
      <alignment horizontal="center" vertical="center" wrapText="1"/>
      <protection/>
    </xf>
    <xf numFmtId="170" fontId="17" fillId="6" borderId="6" xfId="21" applyNumberFormat="1" applyFont="1" applyFill="1" applyBorder="1" applyAlignment="1">
      <alignment horizontal="center" vertical="center" wrapText="1"/>
      <protection/>
    </xf>
    <xf numFmtId="169" fontId="14" fillId="7" borderId="6" xfId="21" applyNumberFormat="1" applyFont="1" applyFill="1" applyBorder="1" applyAlignment="1">
      <alignment horizontal="center" vertical="center" wrapText="1"/>
      <protection/>
    </xf>
    <xf numFmtId="170" fontId="14" fillId="7" borderId="6" xfId="21" applyNumberFormat="1" applyFont="1" applyFill="1" applyBorder="1" applyAlignment="1">
      <alignment horizontal="center" vertical="center" wrapText="1"/>
      <protection/>
    </xf>
    <xf numFmtId="167" fontId="14" fillId="8" borderId="6" xfId="21" applyNumberFormat="1" applyFont="1" applyFill="1" applyBorder="1" applyAlignment="1">
      <alignment horizontal="center" vertical="center" wrapText="1"/>
      <protection/>
    </xf>
    <xf numFmtId="164" fontId="14" fillId="9" borderId="6" xfId="21" applyFont="1" applyFill="1" applyBorder="1" applyAlignment="1">
      <alignment horizontal="center" vertical="center" wrapText="1"/>
      <protection/>
    </xf>
    <xf numFmtId="164" fontId="14" fillId="2" borderId="8" xfId="21" applyFont="1" applyFill="1" applyBorder="1" applyAlignment="1">
      <alignment horizontal="center" vertical="center" wrapText="1"/>
      <protection/>
    </xf>
    <xf numFmtId="166" fontId="10" fillId="3" borderId="6" xfId="21" applyNumberFormat="1" applyFont="1" applyFill="1" applyBorder="1" applyAlignment="1">
      <alignment horizontal="center" vertical="center" wrapText="1"/>
      <protection/>
    </xf>
    <xf numFmtId="166" fontId="17" fillId="10" borderId="9" xfId="21" applyNumberFormat="1" applyFont="1" applyFill="1" applyBorder="1" applyAlignment="1">
      <alignment horizontal="center" vertical="center" wrapText="1"/>
      <protection/>
    </xf>
    <xf numFmtId="167" fontId="17" fillId="10" borderId="6" xfId="21" applyNumberFormat="1" applyFont="1" applyFill="1" applyBorder="1" applyAlignment="1">
      <alignment horizontal="center" vertical="center" wrapText="1"/>
      <protection/>
    </xf>
    <xf numFmtId="164" fontId="0" fillId="0" borderId="0" xfId="21" applyFont="1" applyBorder="1" applyAlignment="1">
      <alignment horizontal="center" vertical="center"/>
      <protection/>
    </xf>
    <xf numFmtId="172" fontId="0" fillId="0" borderId="0" xfId="21" applyNumberFormat="1" applyFont="1" applyAlignment="1">
      <alignment horizontal="left"/>
      <protection/>
    </xf>
    <xf numFmtId="164" fontId="2" fillId="11" borderId="10" xfId="21" applyFont="1" applyFill="1" applyBorder="1" applyAlignment="1">
      <alignment horizontal="center"/>
      <protection/>
    </xf>
    <xf numFmtId="166" fontId="19" fillId="11" borderId="11" xfId="21" applyNumberFormat="1" applyFont="1" applyFill="1" applyBorder="1" applyAlignment="1">
      <alignment horizontal="center"/>
      <protection/>
    </xf>
    <xf numFmtId="164" fontId="20" fillId="12" borderId="11" xfId="21" applyFont="1" applyFill="1" applyBorder="1" applyAlignment="1">
      <alignment horizontal="center"/>
      <protection/>
    </xf>
    <xf numFmtId="164" fontId="19" fillId="12" borderId="12" xfId="21" applyFont="1" applyFill="1" applyBorder="1" applyAlignment="1">
      <alignment horizontal="center"/>
      <protection/>
    </xf>
    <xf numFmtId="169" fontId="6" fillId="5" borderId="10" xfId="21" applyNumberFormat="1" applyFont="1" applyFill="1" applyBorder="1" applyAlignment="1">
      <alignment horizontal="center"/>
      <protection/>
    </xf>
    <xf numFmtId="166" fontId="6" fillId="5" borderId="10" xfId="21" applyNumberFormat="1" applyFont="1" applyFill="1" applyBorder="1" applyAlignment="1">
      <alignment horizontal="center"/>
      <protection/>
    </xf>
    <xf numFmtId="173" fontId="6" fillId="5" borderId="10" xfId="21" applyNumberFormat="1" applyFont="1" applyFill="1" applyBorder="1" applyAlignment="1">
      <alignment horizontal="center"/>
      <protection/>
    </xf>
    <xf numFmtId="170" fontId="6" fillId="5" borderId="10" xfId="21" applyNumberFormat="1" applyFont="1" applyFill="1" applyBorder="1" applyAlignment="1">
      <alignment horizontal="center"/>
      <protection/>
    </xf>
    <xf numFmtId="166" fontId="9" fillId="5" borderId="10" xfId="21" applyNumberFormat="1" applyFont="1" applyFill="1" applyBorder="1" applyAlignment="1">
      <alignment horizontal="center"/>
      <protection/>
    </xf>
    <xf numFmtId="166" fontId="6" fillId="5" borderId="13" xfId="21" applyNumberFormat="1" applyFont="1" applyFill="1" applyBorder="1" applyAlignment="1">
      <alignment horizontal="center"/>
      <protection/>
    </xf>
    <xf numFmtId="167" fontId="6" fillId="5" borderId="10" xfId="21" applyNumberFormat="1" applyFont="1" applyFill="1" applyBorder="1" applyAlignment="1">
      <alignment horizontal="center"/>
      <protection/>
    </xf>
    <xf numFmtId="164" fontId="6" fillId="0" borderId="0" xfId="21" applyFont="1" applyBorder="1" applyAlignment="1">
      <alignment horizontal="center"/>
      <protection/>
    </xf>
    <xf numFmtId="164" fontId="21" fillId="0" borderId="0" xfId="21" applyFont="1" applyFill="1" applyAlignment="1">
      <alignment horizontal="center"/>
      <protection/>
    </xf>
    <xf numFmtId="166" fontId="22" fillId="0" borderId="0" xfId="21" applyNumberFormat="1" applyFont="1" applyFill="1" applyAlignment="1">
      <alignment horizontal="center"/>
      <protection/>
    </xf>
    <xf numFmtId="174" fontId="20" fillId="0" borderId="0" xfId="21" applyNumberFormat="1" applyFont="1" applyAlignment="1">
      <alignment horizontal="center"/>
      <protection/>
    </xf>
    <xf numFmtId="164" fontId="23" fillId="0" borderId="0" xfId="21" applyFont="1" applyBorder="1" applyAlignment="1">
      <alignment horizontal="center"/>
      <protection/>
    </xf>
    <xf numFmtId="169" fontId="17" fillId="0" borderId="0" xfId="21" applyNumberFormat="1" applyFont="1" applyBorder="1" applyAlignment="1">
      <alignment horizontal="center"/>
      <protection/>
    </xf>
    <xf numFmtId="166" fontId="17" fillId="0" borderId="0" xfId="21" applyNumberFormat="1" applyFont="1" applyBorder="1" applyAlignment="1">
      <alignment horizontal="center"/>
      <protection/>
    </xf>
    <xf numFmtId="166" fontId="17" fillId="0" borderId="0" xfId="21" applyNumberFormat="1" applyFont="1" applyBorder="1">
      <alignment/>
      <protection/>
    </xf>
    <xf numFmtId="173" fontId="17" fillId="0" borderId="0" xfId="21" applyNumberFormat="1" applyFont="1" applyBorder="1" applyAlignment="1">
      <alignment horizontal="center"/>
      <protection/>
    </xf>
    <xf numFmtId="166" fontId="24" fillId="0" borderId="0" xfId="21" applyNumberFormat="1" applyFont="1" applyAlignment="1">
      <alignment horizontal="center"/>
      <protection/>
    </xf>
    <xf numFmtId="167" fontId="24" fillId="0" borderId="0" xfId="21" applyNumberFormat="1" applyFont="1" applyAlignment="1">
      <alignment horizontal="center"/>
      <protection/>
    </xf>
    <xf numFmtId="169" fontId="24" fillId="0" borderId="0" xfId="21" applyNumberFormat="1" applyFont="1" applyAlignment="1">
      <alignment horizontal="center"/>
      <protection/>
    </xf>
    <xf numFmtId="164" fontId="24" fillId="0" borderId="0" xfId="21" applyFont="1" applyBorder="1" applyAlignment="1">
      <alignment horizontal="center"/>
      <protection/>
    </xf>
    <xf numFmtId="164" fontId="0" fillId="0" borderId="0" xfId="21" applyFont="1" applyBorder="1" applyAlignment="1">
      <alignment horizontal="center"/>
      <protection/>
    </xf>
    <xf numFmtId="174" fontId="21" fillId="0" borderId="1" xfId="21" applyNumberFormat="1" applyFont="1" applyFill="1" applyBorder="1" applyAlignment="1">
      <alignment horizontal="center"/>
      <protection/>
    </xf>
    <xf numFmtId="166" fontId="22" fillId="0" borderId="1" xfId="21" applyNumberFormat="1" applyFont="1" applyFill="1" applyBorder="1" applyAlignment="1">
      <alignment horizontal="center"/>
      <protection/>
    </xf>
    <xf numFmtId="174" fontId="20" fillId="0" borderId="1" xfId="21" applyNumberFormat="1" applyFont="1" applyBorder="1" applyAlignment="1">
      <alignment horizontal="center"/>
      <protection/>
    </xf>
    <xf numFmtId="164" fontId="23" fillId="0" borderId="1" xfId="21" applyFont="1" applyBorder="1" applyAlignment="1">
      <alignment horizontal="center"/>
      <protection/>
    </xf>
    <xf numFmtId="166" fontId="24" fillId="0" borderId="1" xfId="21" applyNumberFormat="1" applyFont="1" applyBorder="1" applyAlignment="1">
      <alignment horizontal="center"/>
      <protection/>
    </xf>
    <xf numFmtId="167" fontId="24" fillId="0" borderId="1" xfId="21" applyNumberFormat="1" applyFont="1" applyBorder="1" applyAlignment="1">
      <alignment horizontal="center"/>
      <protection/>
    </xf>
    <xf numFmtId="169" fontId="24" fillId="0" borderId="1" xfId="21" applyNumberFormat="1" applyFont="1" applyBorder="1" applyAlignment="1">
      <alignment horizontal="center"/>
      <protection/>
    </xf>
    <xf numFmtId="169" fontId="0" fillId="0" borderId="0" xfId="21" applyNumberFormat="1" applyFont="1" applyBorder="1" applyAlignment="1">
      <alignment horizontal="center"/>
      <protection/>
    </xf>
    <xf numFmtId="172" fontId="25" fillId="0" borderId="0" xfId="21" applyNumberFormat="1" applyFont="1" applyAlignment="1">
      <alignment horizontal="left"/>
      <protection/>
    </xf>
    <xf numFmtId="166" fontId="22" fillId="0" borderId="0" xfId="21" applyNumberFormat="1" applyFont="1" applyFill="1" applyBorder="1" applyAlignment="1">
      <alignment horizontal="center"/>
      <protection/>
    </xf>
    <xf numFmtId="164" fontId="0" fillId="0" borderId="0" xfId="21" applyFont="1" applyFill="1" applyBorder="1" applyAlignment="1">
      <alignment horizontal="center"/>
      <protection/>
    </xf>
    <xf numFmtId="174" fontId="21" fillId="0" borderId="14" xfId="21" applyNumberFormat="1" applyFont="1" applyFill="1" applyBorder="1" applyAlignment="1">
      <alignment horizontal="center"/>
      <protection/>
    </xf>
    <xf numFmtId="166" fontId="22" fillId="0" borderId="14" xfId="21" applyNumberFormat="1" applyFont="1" applyFill="1" applyBorder="1" applyAlignment="1">
      <alignment horizontal="center"/>
      <protection/>
    </xf>
    <xf numFmtId="174" fontId="20" fillId="0" borderId="14" xfId="21" applyNumberFormat="1" applyFont="1" applyBorder="1" applyAlignment="1">
      <alignment horizontal="center"/>
      <protection/>
    </xf>
    <xf numFmtId="164" fontId="23" fillId="0" borderId="14" xfId="21" applyFont="1" applyBorder="1" applyAlignment="1">
      <alignment horizontal="center"/>
      <protection/>
    </xf>
    <xf numFmtId="169" fontId="17" fillId="0" borderId="14" xfId="21" applyNumberFormat="1" applyFont="1" applyBorder="1" applyAlignment="1">
      <alignment horizontal="center"/>
      <protection/>
    </xf>
    <xf numFmtId="166" fontId="17" fillId="0" borderId="14" xfId="21" applyNumberFormat="1" applyFont="1" applyBorder="1" applyAlignment="1">
      <alignment horizontal="center"/>
      <protection/>
    </xf>
    <xf numFmtId="166" fontId="17" fillId="0" borderId="14" xfId="21" applyNumberFormat="1" applyFont="1" applyBorder="1">
      <alignment/>
      <protection/>
    </xf>
    <xf numFmtId="173" fontId="17" fillId="0" borderId="14" xfId="21" applyNumberFormat="1" applyFont="1" applyBorder="1" applyAlignment="1">
      <alignment horizontal="center"/>
      <protection/>
    </xf>
    <xf numFmtId="166" fontId="24" fillId="0" borderId="14" xfId="21" applyNumberFormat="1" applyFont="1" applyBorder="1" applyAlignment="1">
      <alignment horizontal="center"/>
      <protection/>
    </xf>
    <xf numFmtId="167" fontId="24" fillId="0" borderId="14" xfId="21" applyNumberFormat="1" applyFont="1" applyBorder="1" applyAlignment="1">
      <alignment horizontal="center"/>
      <protection/>
    </xf>
    <xf numFmtId="169" fontId="24" fillId="0" borderId="14" xfId="21" applyNumberFormat="1" applyFont="1" applyBorder="1" applyAlignment="1">
      <alignment horizontal="center"/>
      <protection/>
    </xf>
    <xf numFmtId="167" fontId="24" fillId="0" borderId="0" xfId="21" applyNumberFormat="1" applyFont="1" applyFill="1" applyBorder="1" applyAlignment="1">
      <alignment horizontal="center"/>
      <protection/>
    </xf>
    <xf numFmtId="164" fontId="26" fillId="0" borderId="0" xfId="21" applyFont="1" applyAlignment="1">
      <alignment horizontal="center"/>
      <protection/>
    </xf>
    <xf numFmtId="164" fontId="27" fillId="0" borderId="15" xfId="21" applyFont="1" applyBorder="1" applyAlignment="1">
      <alignment horizontal="center"/>
      <protection/>
    </xf>
    <xf numFmtId="164" fontId="28" fillId="0" borderId="15" xfId="21" applyFont="1" applyBorder="1" applyAlignment="1">
      <alignment horizontal="center"/>
      <protection/>
    </xf>
    <xf numFmtId="164" fontId="29" fillId="4" borderId="16" xfId="21" applyFont="1" applyFill="1" applyBorder="1" applyAlignment="1">
      <alignment horizontal="center" vertical="center" wrapText="1"/>
      <protection/>
    </xf>
    <xf numFmtId="164" fontId="34" fillId="4" borderId="16" xfId="21" applyFont="1" applyFill="1" applyBorder="1" applyAlignment="1">
      <alignment horizontal="center" vertical="center" wrapText="1"/>
      <protection/>
    </xf>
    <xf numFmtId="164" fontId="31" fillId="4" borderId="16" xfId="21" applyFont="1" applyFill="1" applyBorder="1" applyAlignment="1">
      <alignment horizontal="center" vertical="center" wrapText="1"/>
      <protection/>
    </xf>
    <xf numFmtId="164" fontId="26" fillId="0" borderId="17" xfId="21" applyFont="1" applyBorder="1" applyAlignment="1">
      <alignment horizontal="center"/>
      <protection/>
    </xf>
    <xf numFmtId="164" fontId="38" fillId="10" borderId="16" xfId="21" applyFont="1" applyFill="1" applyBorder="1" applyAlignment="1">
      <alignment horizontal="center" vertical="center" wrapText="1"/>
      <protection/>
    </xf>
    <xf numFmtId="164" fontId="41" fillId="10" borderId="16" xfId="21" applyFont="1" applyFill="1" applyBorder="1" applyAlignment="1">
      <alignment horizontal="center" vertical="center" wrapText="1"/>
      <protection/>
    </xf>
    <xf numFmtId="164" fontId="26" fillId="10" borderId="16" xfId="21" applyFont="1" applyFill="1" applyBorder="1" applyAlignment="1">
      <alignment horizontal="center" vertical="center" wrapText="1"/>
      <protection/>
    </xf>
    <xf numFmtId="175" fontId="44" fillId="0" borderId="16" xfId="21" applyNumberFormat="1" applyFont="1" applyBorder="1" applyAlignment="1">
      <alignment horizontal="center"/>
      <protection/>
    </xf>
    <xf numFmtId="164" fontId="44" fillId="0" borderId="16" xfId="21" applyFont="1" applyBorder="1" applyAlignment="1">
      <alignment horizontal="center"/>
      <protection/>
    </xf>
    <xf numFmtId="164" fontId="26" fillId="0" borderId="16" xfId="21" applyFont="1" applyBorder="1" applyAlignment="1">
      <alignment horizontal="center"/>
      <protection/>
    </xf>
    <xf numFmtId="170" fontId="26" fillId="0" borderId="16" xfId="21" applyNumberFormat="1" applyFont="1" applyBorder="1" applyAlignment="1">
      <alignment horizontal="center"/>
      <protection/>
    </xf>
    <xf numFmtId="166" fontId="44" fillId="0" borderId="16" xfId="21" applyNumberFormat="1" applyFont="1" applyBorder="1" applyAlignment="1">
      <alignment horizontal="center"/>
      <protection/>
    </xf>
    <xf numFmtId="175" fontId="26" fillId="0" borderId="16" xfId="21" applyNumberFormat="1" applyFont="1" applyBorder="1" applyAlignment="1">
      <alignment horizontal="center"/>
      <protection/>
    </xf>
    <xf numFmtId="164" fontId="45" fillId="0" borderId="0" xfId="21" applyFont="1" applyAlignment="1">
      <alignment horizontal="right"/>
      <protection/>
    </xf>
    <xf numFmtId="170" fontId="26" fillId="0" borderId="0" xfId="21" applyNumberFormat="1" applyFont="1" applyAlignment="1">
      <alignment horizontal="center"/>
      <protection/>
    </xf>
    <xf numFmtId="176" fontId="26" fillId="0" borderId="0" xfId="21" applyNumberFormat="1" applyFont="1" applyAlignment="1">
      <alignment horizontal="center"/>
      <protection/>
    </xf>
    <xf numFmtId="164" fontId="29" fillId="4" borderId="16" xfId="21" applyFont="1" applyFill="1" applyBorder="1" applyAlignment="1">
      <alignment horizontal="center"/>
      <protection/>
    </xf>
    <xf numFmtId="164" fontId="29" fillId="10" borderId="16" xfId="21" applyFont="1" applyFill="1" applyBorder="1" applyAlignment="1">
      <alignment horizontal="center"/>
      <protection/>
    </xf>
    <xf numFmtId="164" fontId="41" fillId="0" borderId="0" xfId="21" applyFont="1" applyAlignment="1">
      <alignment horizontal="center"/>
      <protection/>
    </xf>
    <xf numFmtId="164" fontId="38" fillId="10" borderId="16" xfId="21" applyFont="1" applyFill="1" applyBorder="1" applyAlignment="1">
      <alignment horizontal="center"/>
      <protection/>
    </xf>
    <xf numFmtId="164" fontId="1" fillId="0" borderId="0" xfId="20" applyNumberFormat="1" applyFill="1" applyBorder="1" applyAlignment="1" applyProtection="1">
      <alignment horizontal="center"/>
      <protection/>
    </xf>
    <xf numFmtId="164" fontId="26" fillId="0" borderId="0" xfId="21" applyFont="1" applyAlignment="1">
      <alignment horizontal="right"/>
      <protection/>
    </xf>
    <xf numFmtId="175" fontId="26" fillId="0" borderId="0" xfId="21" applyNumberFormat="1" applyFont="1" applyAlignment="1">
      <alignment horizontal="center"/>
      <protection/>
    </xf>
    <xf numFmtId="166" fontId="26" fillId="0" borderId="0" xfId="21" applyNumberFormat="1" applyFont="1" applyAlignment="1">
      <alignment horizontal="center"/>
      <protection/>
    </xf>
    <xf numFmtId="164" fontId="41" fillId="0" borderId="0" xfId="21" applyFont="1" applyAlignment="1">
      <alignment horizontal="right"/>
      <protection/>
    </xf>
    <xf numFmtId="167" fontId="9" fillId="5" borderId="10" xfId="21" applyNumberFormat="1" applyFont="1" applyFill="1" applyBorder="1" applyAlignment="1">
      <alignment horizontal="center"/>
      <protection/>
    </xf>
    <xf numFmtId="166" fontId="26" fillId="0" borderId="0" xfId="21" applyNumberFormat="1" applyFont="1" applyFill="1" applyAlignment="1">
      <alignment horizontal="center"/>
      <protection/>
    </xf>
    <xf numFmtId="164" fontId="46" fillId="0" borderId="0" xfId="21" applyFont="1" applyAlignment="1">
      <alignment horizontal="right"/>
      <protection/>
    </xf>
    <xf numFmtId="175" fontId="47" fillId="0" borderId="0" xfId="21" applyNumberFormat="1" applyFont="1" applyAlignment="1">
      <alignment horizontal="center"/>
      <protection/>
    </xf>
    <xf numFmtId="166" fontId="26" fillId="0" borderId="16" xfId="21" applyNumberFormat="1" applyFont="1" applyBorder="1" applyAlignment="1">
      <alignment horizontal="center"/>
      <protection/>
    </xf>
    <xf numFmtId="164" fontId="26" fillId="0" borderId="0" xfId="21" applyFont="1" applyBorder="1" applyAlignment="1">
      <alignment horizontal="center"/>
      <protection/>
    </xf>
    <xf numFmtId="164" fontId="42" fillId="0" borderId="0" xfId="21" applyFont="1" applyAlignment="1">
      <alignment horizontal="right"/>
      <protection/>
    </xf>
    <xf numFmtId="164" fontId="26" fillId="0" borderId="18" xfId="21" applyFont="1" applyBorder="1" applyAlignment="1">
      <alignment horizontal="center"/>
      <protection/>
    </xf>
    <xf numFmtId="164" fontId="45" fillId="0" borderId="19" xfId="21" applyFont="1" applyBorder="1" applyAlignment="1">
      <alignment horizontal="right"/>
      <protection/>
    </xf>
    <xf numFmtId="175" fontId="48" fillId="5" borderId="16" xfId="21" applyNumberFormat="1" applyFont="1" applyFill="1" applyBorder="1" applyAlignment="1">
      <alignment horizontal="center"/>
      <protection/>
    </xf>
    <xf numFmtId="164" fontId="26" fillId="0" borderId="19" xfId="21" applyFont="1" applyBorder="1" applyAlignment="1">
      <alignment horizontal="center"/>
      <protection/>
    </xf>
    <xf numFmtId="166" fontId="48" fillId="5" borderId="16" xfId="21" applyNumberFormat="1" applyFont="1" applyFill="1" applyBorder="1" applyAlignment="1">
      <alignment horizontal="center"/>
      <protection/>
    </xf>
    <xf numFmtId="164" fontId="26" fillId="0" borderId="12" xfId="21" applyFont="1" applyBorder="1" applyAlignment="1">
      <alignment horizontal="center"/>
      <protection/>
    </xf>
    <xf numFmtId="164" fontId="45" fillId="0" borderId="15" xfId="21" applyFont="1" applyBorder="1" applyAlignment="1">
      <alignment horizontal="right"/>
      <protection/>
    </xf>
    <xf numFmtId="164" fontId="26" fillId="0" borderId="15" xfId="21" applyFont="1" applyBorder="1" applyAlignment="1">
      <alignment horizontal="center"/>
      <protection/>
    </xf>
    <xf numFmtId="164" fontId="26" fillId="0" borderId="20" xfId="21" applyFont="1" applyBorder="1" applyAlignment="1">
      <alignment horizontal="right"/>
      <protection/>
    </xf>
    <xf numFmtId="170" fontId="48" fillId="5" borderId="16" xfId="21" applyNumberFormat="1" applyFont="1" applyFill="1" applyBorder="1" applyAlignment="1">
      <alignment horizontal="center"/>
      <protection/>
    </xf>
    <xf numFmtId="164" fontId="26" fillId="0" borderId="0" xfId="21" applyFont="1" applyBorder="1" applyAlignment="1">
      <alignment horizontal="right"/>
      <protection/>
    </xf>
    <xf numFmtId="164" fontId="26" fillId="0" borderId="21" xfId="21" applyFont="1" applyBorder="1" applyAlignment="1">
      <alignment horizontal="right"/>
      <protection/>
    </xf>
    <xf numFmtId="164" fontId="45" fillId="0" borderId="0" xfId="21" applyFont="1" applyBorder="1" applyAlignment="1">
      <alignment horizontal="right"/>
      <protection/>
    </xf>
    <xf numFmtId="164" fontId="45" fillId="0" borderId="21" xfId="21" applyFont="1" applyBorder="1" applyAlignment="1">
      <alignment horizontal="right"/>
      <protection/>
    </xf>
    <xf numFmtId="166" fontId="48" fillId="0" borderId="15" xfId="21" applyNumberFormat="1" applyFont="1" applyFill="1" applyBorder="1" applyAlignment="1">
      <alignment horizontal="center"/>
      <protection/>
    </xf>
    <xf numFmtId="166" fontId="48" fillId="0" borderId="21" xfId="21" applyNumberFormat="1" applyFont="1" applyFill="1" applyBorder="1" applyAlignment="1">
      <alignment horizontal="center"/>
      <protection/>
    </xf>
    <xf numFmtId="164" fontId="48" fillId="0" borderId="0" xfId="21" applyFont="1" applyAlignment="1">
      <alignment horizontal="center"/>
      <protection/>
    </xf>
    <xf numFmtId="164" fontId="42" fillId="0" borderId="0" xfId="21" applyFont="1" applyBorder="1" applyAlignment="1">
      <alignment horizontal="right"/>
      <protection/>
    </xf>
    <xf numFmtId="177" fontId="48" fillId="5" borderId="16" xfId="21" applyNumberFormat="1" applyFont="1" applyFill="1" applyBorder="1" applyAlignment="1">
      <alignment horizontal="center"/>
      <protection/>
    </xf>
    <xf numFmtId="164" fontId="26" fillId="0" borderId="21" xfId="21" applyFont="1" applyBorder="1" applyAlignment="1">
      <alignment horizontal="center"/>
      <protection/>
    </xf>
    <xf numFmtId="164" fontId="48" fillId="0" borderId="16" xfId="21" applyFont="1" applyBorder="1" applyAlignment="1">
      <alignment horizontal="center"/>
      <protection/>
    </xf>
    <xf numFmtId="164" fontId="31" fillId="0" borderId="0" xfId="21" applyFont="1" applyAlignment="1">
      <alignment horizontal="left"/>
      <protection/>
    </xf>
    <xf numFmtId="178" fontId="48" fillId="5" borderId="16" xfId="21" applyNumberFormat="1" applyFont="1" applyFill="1" applyBorder="1" applyAlignment="1">
      <alignment horizontal="center"/>
      <protection/>
    </xf>
    <xf numFmtId="175" fontId="26" fillId="0" borderId="15" xfId="21" applyNumberFormat="1" applyFont="1" applyBorder="1" applyAlignment="1">
      <alignment horizontal="center"/>
      <protection/>
    </xf>
    <xf numFmtId="164" fontId="26" fillId="0" borderId="22" xfId="21" applyFont="1" applyBorder="1" applyAlignment="1">
      <alignment horizontal="center"/>
      <protection/>
    </xf>
    <xf numFmtId="164" fontId="26" fillId="0" borderId="0" xfId="21" applyNumberFormat="1" applyFont="1" applyAlignment="1">
      <alignment horizontal="center"/>
      <protection/>
    </xf>
    <xf numFmtId="166" fontId="48" fillId="0" borderId="16" xfId="21" applyNumberFormat="1" applyFont="1" applyBorder="1" applyAlignment="1">
      <alignment horizontal="center"/>
      <protection/>
    </xf>
    <xf numFmtId="164" fontId="49" fillId="0" borderId="0" xfId="21" applyNumberFormat="1" applyFont="1" applyAlignment="1">
      <alignment horizontal="center"/>
      <protection/>
    </xf>
    <xf numFmtId="164" fontId="49" fillId="0" borderId="0" xfId="21" applyFont="1" applyAlignment="1">
      <alignment horizontal="center"/>
      <protection/>
    </xf>
    <xf numFmtId="178" fontId="50" fillId="0" borderId="0" xfId="21" applyNumberFormat="1" applyFont="1" applyAlignment="1">
      <alignment horizontal="center"/>
      <protection/>
    </xf>
    <xf numFmtId="164" fontId="50" fillId="0" borderId="0" xfId="21" applyFont="1" applyAlignment="1">
      <alignment horizontal="center"/>
      <protection/>
    </xf>
    <xf numFmtId="175" fontId="50" fillId="0" borderId="0" xfId="21" applyNumberFormat="1" applyFont="1" applyAlignment="1">
      <alignment horizontal="center"/>
      <protection/>
    </xf>
    <xf numFmtId="164" fontId="26" fillId="0" borderId="0" xfId="21" applyFont="1" applyAlignment="1">
      <alignment horizontal="left"/>
      <protection/>
    </xf>
    <xf numFmtId="164" fontId="47" fillId="0" borderId="0" xfId="21" applyFont="1" applyAlignment="1">
      <alignment horizontal="center"/>
      <protection/>
    </xf>
    <xf numFmtId="177" fontId="47" fillId="0" borderId="0" xfId="21" applyNumberFormat="1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_TimeSpeedWattSaving" xfId="20"/>
    <cellStyle name="Excel Built-in Normal" xfId="21"/>
  </cellStyles>
  <dxfs count="2">
    <dxf>
      <font>
        <b val="0"/>
        <color rgb="FFFF0000"/>
      </font>
      <border/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zoomScale="82" zoomScaleNormal="82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>
    <row r="1" ht="12.75">
      <c r="A1" s="1">
        <v>-1</v>
      </c>
    </row>
    <row r="32" ht="12.75">
      <c r="A32" s="1" t="s"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94"/>
  <sheetViews>
    <sheetView tabSelected="1" zoomScale="82" zoomScaleNormal="82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E15" sqref="AE15"/>
    </sheetView>
  </sheetViews>
  <sheetFormatPr defaultColWidth="9.140625" defaultRowHeight="12.75"/>
  <cols>
    <col min="1" max="1" width="50.7109375" style="2" customWidth="1"/>
    <col min="2" max="2" width="4.421875" style="3" customWidth="1"/>
    <col min="3" max="3" width="6.00390625" style="4" customWidth="1"/>
    <col min="4" max="4" width="4.421875" style="5" customWidth="1"/>
    <col min="5" max="5" width="4.421875" style="6" customWidth="1"/>
    <col min="6" max="9" width="7.57421875" style="6" customWidth="1"/>
    <col min="10" max="12" width="0" style="6" hidden="1" customWidth="1"/>
    <col min="13" max="16" width="7.57421875" style="6" customWidth="1"/>
    <col min="17" max="18" width="9.28125" style="6" customWidth="1"/>
    <col min="19" max="20" width="7.57421875" style="6" customWidth="1"/>
    <col min="21" max="21" width="8.140625" style="6" customWidth="1"/>
    <col min="22" max="23" width="18.8515625" style="6" customWidth="1"/>
    <col min="24" max="25" width="0" style="6" hidden="1" customWidth="1"/>
    <col min="26" max="26" width="0" style="7" hidden="1" customWidth="1"/>
    <col min="27" max="28" width="0" style="8" hidden="1" customWidth="1"/>
    <col min="29" max="29" width="11.57421875" style="9" customWidth="1"/>
    <col min="30" max="30" width="11.28125" style="1" customWidth="1"/>
    <col min="31" max="31" width="13.28125" style="1" customWidth="1"/>
    <col min="32" max="32" width="11.421875" style="1" customWidth="1"/>
    <col min="33" max="33" width="13.57421875" style="1" customWidth="1"/>
    <col min="34" max="41" width="8.7109375" style="1" customWidth="1"/>
    <col min="42" max="42" width="11.28125" style="1" customWidth="1"/>
    <col min="43" max="43" width="11.7109375" style="1" customWidth="1"/>
    <col min="44" max="16384" width="9.140625" style="9" customWidth="1"/>
  </cols>
  <sheetData>
    <row r="1" spans="1:33" ht="12.75">
      <c r="A1" s="10">
        <v>0</v>
      </c>
      <c r="D1" s="11"/>
      <c r="E1" s="12"/>
      <c r="F1" s="13"/>
      <c r="G1" s="13" t="s">
        <v>1</v>
      </c>
      <c r="H1" s="13">
        <v>3.39</v>
      </c>
      <c r="I1" s="13"/>
      <c r="J1" s="13"/>
      <c r="K1" s="13"/>
      <c r="L1" s="13"/>
      <c r="M1" s="13"/>
      <c r="N1" s="13" t="s">
        <v>2</v>
      </c>
      <c r="O1" s="13">
        <v>30</v>
      </c>
      <c r="P1" s="13"/>
      <c r="Q1" s="14"/>
      <c r="R1" s="14"/>
      <c r="S1"/>
      <c r="T1" s="13">
        <v>70</v>
      </c>
      <c r="U1" s="15"/>
      <c r="V1" s="16" t="s">
        <v>3</v>
      </c>
      <c r="W1" s="17" t="s">
        <v>4</v>
      </c>
      <c r="X1" s="18" t="s">
        <v>5</v>
      </c>
      <c r="Y1" s="19"/>
      <c r="Z1" s="20"/>
      <c r="AA1" s="21"/>
      <c r="AB1" s="21"/>
      <c r="AC1" s="22"/>
      <c r="AD1"/>
      <c r="AE1"/>
      <c r="AF1"/>
      <c r="AG1"/>
    </row>
    <row r="2" spans="1:33" ht="12.75">
      <c r="A2" s="10">
        <v>44190</v>
      </c>
      <c r="D2" s="11"/>
      <c r="E2" s="23"/>
      <c r="F2" s="23"/>
      <c r="G2" s="24"/>
      <c r="H2" s="25"/>
      <c r="I2" s="25"/>
      <c r="J2" s="26" t="s">
        <v>6</v>
      </c>
      <c r="K2" s="25"/>
      <c r="L2" s="25"/>
      <c r="M2" s="25"/>
      <c r="N2" s="27"/>
      <c r="O2" s="25"/>
      <c r="P2" s="25"/>
      <c r="Q2" s="28" t="s">
        <v>7</v>
      </c>
      <c r="R2" s="29" t="s">
        <v>7</v>
      </c>
      <c r="S2" s="30"/>
      <c r="T2" s="30"/>
      <c r="U2" s="31" t="s">
        <v>8</v>
      </c>
      <c r="V2" s="32">
        <v>25</v>
      </c>
      <c r="W2" s="33" t="s">
        <v>9</v>
      </c>
      <c r="X2" s="34" t="s">
        <v>10</v>
      </c>
      <c r="Y2" s="34" t="s">
        <v>11</v>
      </c>
      <c r="Z2" s="35"/>
      <c r="AA2" s="36"/>
      <c r="AB2" s="37"/>
      <c r="AC2" s="38"/>
      <c r="AD2"/>
      <c r="AE2"/>
      <c r="AF2"/>
      <c r="AG2"/>
    </row>
    <row r="3" spans="1:29" s="55" customFormat="1" ht="56.25" customHeight="1">
      <c r="A3" s="39" t="s">
        <v>12</v>
      </c>
      <c r="B3" s="40" t="s">
        <v>13</v>
      </c>
      <c r="C3" s="41" t="s">
        <v>14</v>
      </c>
      <c r="D3" s="42" t="s">
        <v>15</v>
      </c>
      <c r="E3" s="43" t="s">
        <v>16</v>
      </c>
      <c r="F3" s="44" t="s">
        <v>17</v>
      </c>
      <c r="G3" s="45" t="s">
        <v>18</v>
      </c>
      <c r="H3" s="44" t="s">
        <v>19</v>
      </c>
      <c r="I3" s="45" t="s">
        <v>20</v>
      </c>
      <c r="J3" s="46" t="s">
        <v>21</v>
      </c>
      <c r="K3" s="46" t="s">
        <v>22</v>
      </c>
      <c r="L3" s="46" t="s">
        <v>23</v>
      </c>
      <c r="M3" s="47" t="s">
        <v>24</v>
      </c>
      <c r="N3" s="48" t="s">
        <v>25</v>
      </c>
      <c r="O3" s="47" t="s">
        <v>26</v>
      </c>
      <c r="P3" s="48" t="s">
        <v>27</v>
      </c>
      <c r="Q3" s="49" t="s">
        <v>28</v>
      </c>
      <c r="R3" s="49" t="s">
        <v>29</v>
      </c>
      <c r="S3" s="50" t="s">
        <v>30</v>
      </c>
      <c r="T3" s="50" t="s">
        <v>31</v>
      </c>
      <c r="U3" s="50" t="s">
        <v>32</v>
      </c>
      <c r="V3" s="51" t="s">
        <v>28</v>
      </c>
      <c r="W3" s="51" t="s">
        <v>33</v>
      </c>
      <c r="X3" s="52" t="s">
        <v>34</v>
      </c>
      <c r="Y3" s="52" t="s">
        <v>35</v>
      </c>
      <c r="Z3" s="53" t="s">
        <v>36</v>
      </c>
      <c r="AA3" s="54" t="s">
        <v>37</v>
      </c>
      <c r="AC3" s="48" t="s">
        <v>25</v>
      </c>
    </row>
    <row r="4" spans="1:29" s="68" customFormat="1" ht="12.75">
      <c r="A4" s="56" t="s">
        <v>38</v>
      </c>
      <c r="B4" s="57" t="s">
        <v>39</v>
      </c>
      <c r="C4" s="58">
        <v>0</v>
      </c>
      <c r="D4" s="59">
        <v>1</v>
      </c>
      <c r="E4" s="60" t="s">
        <v>40</v>
      </c>
      <c r="F4" s="61">
        <v>0.7759218178086583</v>
      </c>
      <c r="G4" s="61">
        <v>2.6303749623713513</v>
      </c>
      <c r="H4" s="61">
        <v>-0.03364400892880466</v>
      </c>
      <c r="I4" s="61">
        <v>-0.11405319026864782</v>
      </c>
      <c r="J4" s="62">
        <v>2647.3046231870376</v>
      </c>
      <c r="K4" s="62">
        <v>-117.04512192165025</v>
      </c>
      <c r="L4" s="62">
        <v>-1.5642078574405178</v>
      </c>
      <c r="M4" s="61">
        <v>0.7759223743175393</v>
      </c>
      <c r="N4" s="61">
        <v>2.630376848936458</v>
      </c>
      <c r="O4" s="61">
        <v>-0.0336311718756067</v>
      </c>
      <c r="P4" s="61">
        <v>-0.11400967265830673</v>
      </c>
      <c r="Q4" s="62">
        <v>2747.67926622102</v>
      </c>
      <c r="R4" s="62">
        <v>-119.09396702549913</v>
      </c>
      <c r="S4" s="63">
        <v>2.292706281389318</v>
      </c>
      <c r="T4" s="63">
        <v>0.4407090963115023</v>
      </c>
      <c r="U4" s="64">
        <v>30.195418493958314</v>
      </c>
      <c r="V4" s="65">
        <f>IF(ISERR(AVERAGE(V5:V6)),"",AVERAGE(V5:V6))</f>
        <v>1908.1106015423752</v>
      </c>
      <c r="W4" s="65">
        <f>IF(ISERR(AVERAGE(W5:W6)),"",AVERAGE(W5:W6))</f>
        <v>209.21250597097406</v>
      </c>
      <c r="X4" s="64">
        <v>-31.001621807162795</v>
      </c>
      <c r="Y4" s="64">
        <v>65.3596281928372</v>
      </c>
      <c r="Z4" s="66"/>
      <c r="AA4" s="67"/>
      <c r="AB4" s="67"/>
      <c r="AC4" s="61">
        <f>IF(ISERR(M4*0.314),"",(M4*0.314))</f>
        <v>0.24363962553570734</v>
      </c>
    </row>
    <row r="5" spans="1:50" s="80" customFormat="1" ht="12.75">
      <c r="A5" t="s">
        <v>41</v>
      </c>
      <c r="B5" s="69" t="s">
        <v>39</v>
      </c>
      <c r="C5" s="70">
        <v>0.000947916</v>
      </c>
      <c r="D5" s="71"/>
      <c r="E5" s="72">
        <v>1</v>
      </c>
      <c r="F5" s="73">
        <v>0.7858899402643236</v>
      </c>
      <c r="G5" s="73">
        <v>2.6641668974960573</v>
      </c>
      <c r="H5" s="73">
        <v>-0.03373316032451</v>
      </c>
      <c r="I5" s="73">
        <v>-0.1143554135000889</v>
      </c>
      <c r="J5" s="74">
        <v>2681.346654441405</v>
      </c>
      <c r="K5" s="74">
        <v>-117.00000322923242</v>
      </c>
      <c r="L5" s="74">
        <v>-1.8743461259964682</v>
      </c>
      <c r="M5" s="73">
        <v>0.785890498246784</v>
      </c>
      <c r="N5" s="73">
        <v>2.664168789056598</v>
      </c>
      <c r="O5" s="73">
        <v>-0.033720158356137744</v>
      </c>
      <c r="P5" s="73">
        <v>-0.11431133682730697</v>
      </c>
      <c r="Q5" s="75">
        <v>2782.9781676963094</v>
      </c>
      <c r="R5" s="75">
        <v>-119.40908399547206</v>
      </c>
      <c r="S5" s="73">
        <v>2.291753761821273</v>
      </c>
      <c r="T5" s="73">
        <v>0.44052600088342253</v>
      </c>
      <c r="U5" s="73">
        <v>30.189146053293896</v>
      </c>
      <c r="V5" s="76">
        <f>IF(ISERR(Q5*($V$2/30)^2),"",(Q5*($V$2/30)^2))</f>
        <v>1932.6237275668818</v>
      </c>
      <c r="W5" s="73">
        <f>IF(ISERR(((V5/453.59)*$V$2/375)*746),"",(((V5/453.59)*$V$2/375)*746))</f>
        <v>211.90021837120074</v>
      </c>
      <c r="X5" s="73">
        <v>-32.13310450816541</v>
      </c>
      <c r="Y5" s="73">
        <v>64.2281454918346</v>
      </c>
      <c r="Z5" s="77"/>
      <c r="AA5" s="78"/>
      <c r="AB5" s="78"/>
      <c r="AC5" s="79">
        <f aca="true" t="shared" si="0" ref="AC5:AC66">IF(ISERR(M5*0.314),"",(M5*0.314))</f>
        <v>0.2467696164494902</v>
      </c>
      <c r="AR5" s="81"/>
      <c r="AT5" s="81"/>
      <c r="AU5" s="81"/>
      <c r="AV5" s="81"/>
      <c r="AW5" s="81"/>
      <c r="AX5" s="81"/>
    </row>
    <row r="6" spans="1:50" s="80" customFormat="1" ht="12.75">
      <c r="A6" s="56">
        <v>0</v>
      </c>
      <c r="B6" s="82" t="s">
        <v>39</v>
      </c>
      <c r="C6" s="83">
        <v>0.000947916</v>
      </c>
      <c r="D6" s="84"/>
      <c r="E6" s="85">
        <v>2</v>
      </c>
      <c r="F6" s="73">
        <v>0.7659536953529927</v>
      </c>
      <c r="G6" s="73">
        <v>2.5965830272466452</v>
      </c>
      <c r="H6" s="73">
        <v>-0.03355485753309933</v>
      </c>
      <c r="I6" s="73">
        <v>-0.11375096703720673</v>
      </c>
      <c r="J6" s="74">
        <v>2613.2625919326706</v>
      </c>
      <c r="K6" s="74">
        <v>-117.09024061406808</v>
      </c>
      <c r="L6" s="74">
        <v>-1.2540695888845674</v>
      </c>
      <c r="M6" s="73">
        <v>0.7659542503882945</v>
      </c>
      <c r="N6" s="73">
        <v>2.596584908816318</v>
      </c>
      <c r="O6" s="73">
        <v>-0.03354218539507565</v>
      </c>
      <c r="P6" s="73">
        <v>-0.11370800848930647</v>
      </c>
      <c r="Q6" s="75">
        <v>2712.3803647457303</v>
      </c>
      <c r="R6" s="75">
        <v>-118.7788500555262</v>
      </c>
      <c r="S6" s="73">
        <v>2.2936588009573624</v>
      </c>
      <c r="T6" s="73">
        <v>0.4408921917395819</v>
      </c>
      <c r="U6" s="73">
        <v>30.20169093462273</v>
      </c>
      <c r="V6" s="76">
        <f>IF(ISERR(Q6*($V$2/30)^2),"",(Q6*($V$2/30)^2))</f>
        <v>1883.5974755178686</v>
      </c>
      <c r="W6" s="73">
        <f>IF(ISERR(((V6/453.59)*$V$2/375)*746),"",(((V6/453.59)*$V$2/375)*746))</f>
        <v>206.52479357074742</v>
      </c>
      <c r="X6" s="73">
        <v>-29.87013910616018</v>
      </c>
      <c r="Y6" s="73">
        <v>66.49111089383982</v>
      </c>
      <c r="Z6" s="86"/>
      <c r="AA6" s="87"/>
      <c r="AB6" s="87"/>
      <c r="AC6" s="88">
        <f t="shared" si="0"/>
        <v>0.24050963462192446</v>
      </c>
      <c r="AR6" s="89"/>
      <c r="AT6" s="89"/>
      <c r="AU6" s="81"/>
      <c r="AV6" s="81"/>
      <c r="AW6" s="81"/>
      <c r="AX6" s="81"/>
    </row>
    <row r="7" spans="1:46" s="81" customFormat="1" ht="12.75">
      <c r="A7" s="90">
        <v>0</v>
      </c>
      <c r="B7" s="57" t="s">
        <v>39</v>
      </c>
      <c r="C7" s="58">
        <v>-7.5</v>
      </c>
      <c r="D7" s="59">
        <v>2</v>
      </c>
      <c r="E7" s="60" t="s">
        <v>40</v>
      </c>
      <c r="F7" s="61">
        <v>0.8348262444816813</v>
      </c>
      <c r="G7" s="61">
        <v>2.8300609687928997</v>
      </c>
      <c r="H7" s="61">
        <v>-0.6209754701411531</v>
      </c>
      <c r="I7" s="61">
        <v>-2.105106843778509</v>
      </c>
      <c r="J7" s="62">
        <v>2855.5887468025057</v>
      </c>
      <c r="K7" s="62">
        <v>-2188.052562361887</v>
      </c>
      <c r="L7" s="62">
        <v>-1.590143559122518</v>
      </c>
      <c r="M7" s="61">
        <v>0.7466557237597338</v>
      </c>
      <c r="N7" s="61">
        <v>2.531162903545498</v>
      </c>
      <c r="O7" s="61">
        <v>-0.7246037697729996</v>
      </c>
      <c r="P7" s="61">
        <v>-2.4564067795304685</v>
      </c>
      <c r="Q7" s="62">
        <v>2644.040846204911</v>
      </c>
      <c r="R7" s="62">
        <v>-2565.9509511915044</v>
      </c>
      <c r="S7" s="63">
        <v>2.293215767052265</v>
      </c>
      <c r="T7" s="63">
        <v>0.4408070307778242</v>
      </c>
      <c r="U7" s="64">
        <v>30.198761369288505</v>
      </c>
      <c r="V7" s="65">
        <f>IF(ISERR(AVERAGE(V8:V9)),"",AVERAGE(V8:V9))</f>
        <v>1836.1394765311884</v>
      </c>
      <c r="W7" s="65">
        <f>IF(ISERR(AVERAGE(W8:W9)),"",AVERAGE(W8:W9))</f>
        <v>201.32131800264068</v>
      </c>
      <c r="X7" s="64">
        <v>-28.964051714065633</v>
      </c>
      <c r="Y7" s="64">
        <v>67.39719828593437</v>
      </c>
      <c r="Z7" s="66"/>
      <c r="AA7" s="67"/>
      <c r="AB7" s="67"/>
      <c r="AC7" s="61">
        <f t="shared" si="0"/>
        <v>0.2344498972605564</v>
      </c>
      <c r="AR7" s="89"/>
      <c r="AT7" s="89"/>
    </row>
    <row r="8" spans="1:50" s="80" customFormat="1" ht="12.75">
      <c r="A8" s="56">
        <v>0</v>
      </c>
      <c r="B8" s="69" t="s">
        <v>39</v>
      </c>
      <c r="C8" s="70">
        <v>-7.49801556</v>
      </c>
      <c r="D8" s="71"/>
      <c r="E8" s="72">
        <v>1</v>
      </c>
      <c r="F8" s="73">
        <v>0.8304651373475639</v>
      </c>
      <c r="G8" s="73">
        <v>2.8152768156082413</v>
      </c>
      <c r="H8" s="73">
        <v>-0.6137153636301962</v>
      </c>
      <c r="I8" s="73">
        <v>-2.0804950827063653</v>
      </c>
      <c r="J8" s="74">
        <v>2845.4289697560866</v>
      </c>
      <c r="K8" s="74">
        <v>-2166.8772576867855</v>
      </c>
      <c r="L8" s="74">
        <v>-1.1662663425085835</v>
      </c>
      <c r="M8" s="73">
        <v>0.7432792915434833</v>
      </c>
      <c r="N8" s="73">
        <v>2.5197167983324085</v>
      </c>
      <c r="O8" s="73">
        <v>-0.7168366527097159</v>
      </c>
      <c r="P8" s="73">
        <v>-2.4300762526859363</v>
      </c>
      <c r="Q8" s="75">
        <v>2632.0842986152734</v>
      </c>
      <c r="R8" s="75">
        <v>-2538.446206877529</v>
      </c>
      <c r="S8" s="73">
        <v>2.297406425952197</v>
      </c>
      <c r="T8" s="73">
        <v>0.4416125685441446</v>
      </c>
      <c r="U8" s="73">
        <v>30.226354240306495</v>
      </c>
      <c r="V8" s="76">
        <f>IF(ISERR(Q8*($V$2/30)^2),"",(Q8*($V$2/30)^2))</f>
        <v>1827.836318482829</v>
      </c>
      <c r="W8" s="73">
        <f>IF(ISERR(((V8/453.59)*$V$2/375)*746),"",(((V8/453.59)*$V$2/375)*746))</f>
        <v>200.4109281639352</v>
      </c>
      <c r="X8" s="73">
        <v>-28.913993895216183</v>
      </c>
      <c r="Y8" s="73">
        <v>67.44725610478382</v>
      </c>
      <c r="Z8" s="77"/>
      <c r="AA8" s="78"/>
      <c r="AB8" s="78"/>
      <c r="AC8" s="79">
        <f t="shared" si="0"/>
        <v>0.23338969754465375</v>
      </c>
      <c r="AR8" s="89"/>
      <c r="AT8" s="89"/>
      <c r="AU8" s="81"/>
      <c r="AV8" s="81"/>
      <c r="AW8" s="81"/>
      <c r="AX8" s="81"/>
    </row>
    <row r="9" spans="1:50" s="80" customFormat="1" ht="12.75">
      <c r="A9" s="56">
        <v>0</v>
      </c>
      <c r="B9" s="82" t="s">
        <v>39</v>
      </c>
      <c r="C9" s="83">
        <v>-7.49801556</v>
      </c>
      <c r="D9" s="84"/>
      <c r="E9" s="85">
        <v>2</v>
      </c>
      <c r="F9" s="73">
        <v>0.8391873516157988</v>
      </c>
      <c r="G9" s="73">
        <v>2.844845121977558</v>
      </c>
      <c r="H9" s="73">
        <v>-0.6282355766521099</v>
      </c>
      <c r="I9" s="73">
        <v>-2.1297186048506527</v>
      </c>
      <c r="J9" s="74">
        <v>2865.7485238489244</v>
      </c>
      <c r="K9" s="74">
        <v>-2209.2278670369888</v>
      </c>
      <c r="L9" s="74">
        <v>-2.0140207757364528</v>
      </c>
      <c r="M9" s="73">
        <v>0.7500321559759844</v>
      </c>
      <c r="N9" s="73">
        <v>2.5426090087585873</v>
      </c>
      <c r="O9" s="73">
        <v>-0.7323708868362834</v>
      </c>
      <c r="P9" s="73">
        <v>-2.4827373063750007</v>
      </c>
      <c r="Q9" s="75">
        <v>2655.9973937945488</v>
      </c>
      <c r="R9" s="75">
        <v>-2593.4556955054795</v>
      </c>
      <c r="S9" s="73">
        <v>2.2890251081523325</v>
      </c>
      <c r="T9" s="73">
        <v>0.44000149301150393</v>
      </c>
      <c r="U9" s="73">
        <v>30.171168498270518</v>
      </c>
      <c r="V9" s="76">
        <f>IF(ISERR(Q9*($V$2/30)^2),"",(Q9*($V$2/30)^2))</f>
        <v>1844.442634579548</v>
      </c>
      <c r="W9" s="73">
        <f>IF(ISERR(((V9/453.59)*$V$2/375)*746),"",(((V9/453.59)*$V$2/375)*746))</f>
        <v>202.23170784134618</v>
      </c>
      <c r="X9" s="73">
        <v>-29.01410953291508</v>
      </c>
      <c r="Y9" s="73">
        <v>67.34714046708493</v>
      </c>
      <c r="Z9" s="86"/>
      <c r="AA9" s="87"/>
      <c r="AB9" s="87"/>
      <c r="AC9" s="88">
        <f t="shared" si="0"/>
        <v>0.2355100969764591</v>
      </c>
      <c r="AR9" s="89"/>
      <c r="AT9" s="89"/>
      <c r="AU9" s="81"/>
      <c r="AV9" s="81"/>
      <c r="AW9" s="81"/>
      <c r="AX9" s="81"/>
    </row>
    <row r="10" spans="1:46" s="81" customFormat="1" ht="12.75">
      <c r="A10" s="56">
        <v>0</v>
      </c>
      <c r="B10" s="57" t="s">
        <v>39</v>
      </c>
      <c r="C10" s="58">
        <v>0</v>
      </c>
      <c r="D10" s="59">
        <v>3</v>
      </c>
      <c r="E10" s="60" t="s">
        <v>40</v>
      </c>
      <c r="F10" s="61">
        <v>0.7759487740656319</v>
      </c>
      <c r="G10" s="61">
        <v>2.6304663440824925</v>
      </c>
      <c r="H10" s="61">
        <v>-0.04955620656078159</v>
      </c>
      <c r="I10" s="61">
        <v>-0.16799554024104962</v>
      </c>
      <c r="J10" s="62">
        <v>2642.7147765674863</v>
      </c>
      <c r="K10" s="62">
        <v>-172.5618074562464</v>
      </c>
      <c r="L10" s="62">
        <v>-1.8396786080514835</v>
      </c>
      <c r="M10" s="61">
        <v>0.7759495938299682</v>
      </c>
      <c r="N10" s="61">
        <v>2.630469123083592</v>
      </c>
      <c r="O10" s="61">
        <v>-0.049543369059434746</v>
      </c>
      <c r="P10" s="61">
        <v>-0.16795202111148377</v>
      </c>
      <c r="Q10" s="62">
        <v>2747.7756553604663</v>
      </c>
      <c r="R10" s="62">
        <v>-175.44189012860602</v>
      </c>
      <c r="S10" s="63">
        <v>2.2886372247006888</v>
      </c>
      <c r="T10" s="63">
        <v>0.43992693319246573</v>
      </c>
      <c r="U10" s="64">
        <v>30.168611626095846</v>
      </c>
      <c r="V10" s="65">
        <f>IF(ISERR(AVERAGE(V11:V12)),"",AVERAGE(V11:V12))</f>
        <v>1908.1775384447683</v>
      </c>
      <c r="W10" s="65">
        <f>IF(ISERR(AVERAGE(W11:W12)),"",AVERAGE(W11:W12))</f>
        <v>209.2198451876213</v>
      </c>
      <c r="X10" s="64">
        <v>-29.866383235819633</v>
      </c>
      <c r="Y10" s="64">
        <v>66.49486676418036</v>
      </c>
      <c r="Z10" s="66"/>
      <c r="AA10" s="67"/>
      <c r="AB10" s="67"/>
      <c r="AC10" s="61">
        <f t="shared" si="0"/>
        <v>0.24364817246261</v>
      </c>
      <c r="AR10" s="89"/>
      <c r="AT10" s="89"/>
    </row>
    <row r="11" spans="1:50" s="80" customFormat="1" ht="12.75">
      <c r="A11" s="56">
        <v>0</v>
      </c>
      <c r="B11" s="69" t="s">
        <v>39</v>
      </c>
      <c r="C11" s="70">
        <v>0.000947916</v>
      </c>
      <c r="D11" s="71"/>
      <c r="E11" s="72">
        <v>1</v>
      </c>
      <c r="F11" s="73">
        <v>0.775221098608588</v>
      </c>
      <c r="G11" s="73">
        <v>2.6279995242831133</v>
      </c>
      <c r="H11" s="73">
        <v>-0.05348556972169296</v>
      </c>
      <c r="I11" s="73">
        <v>-0.18131608135653912</v>
      </c>
      <c r="J11" s="74">
        <v>2641.0748721608697</v>
      </c>
      <c r="K11" s="74">
        <v>-186.37914881462973</v>
      </c>
      <c r="L11" s="74">
        <v>-1.9112024926861566</v>
      </c>
      <c r="M11" s="73">
        <v>0.7752219833814109</v>
      </c>
      <c r="N11" s="73">
        <v>2.628002523662983</v>
      </c>
      <c r="O11" s="73">
        <v>-0.053472744258656835</v>
      </c>
      <c r="P11" s="73">
        <v>-0.1812726030368467</v>
      </c>
      <c r="Q11" s="75">
        <v>2745.199057224416</v>
      </c>
      <c r="R11" s="75">
        <v>-189.35650726231327</v>
      </c>
      <c r="S11" s="73">
        <v>2.2894347473239227</v>
      </c>
      <c r="T11" s="73">
        <v>0.4400802347633762</v>
      </c>
      <c r="U11" s="73">
        <v>30.173868062274135</v>
      </c>
      <c r="V11" s="76">
        <f>IF(ISERR(Q11*($V$2/30)^2),"",(Q11*($V$2/30)^2))</f>
        <v>1906.3882341836222</v>
      </c>
      <c r="W11" s="73">
        <f>IF(ISERR(((V11/453.59)*$V$2/375)*746),"",(((V11/453.59)*$V$2/375)*746))</f>
        <v>209.0236590608232</v>
      </c>
      <c r="X11" s="73">
        <v>-29.677433602514913</v>
      </c>
      <c r="Y11" s="73">
        <v>66.68381639748509</v>
      </c>
      <c r="Z11" s="77"/>
      <c r="AA11" s="78"/>
      <c r="AB11" s="78"/>
      <c r="AC11" s="79">
        <f t="shared" si="0"/>
        <v>0.24341970278176303</v>
      </c>
      <c r="AR11" s="89"/>
      <c r="AT11" s="89"/>
      <c r="AU11" s="81"/>
      <c r="AV11" s="81"/>
      <c r="AW11" s="81"/>
      <c r="AX11" s="81"/>
    </row>
    <row r="12" spans="1:50" s="80" customFormat="1" ht="12.75">
      <c r="A12" s="56">
        <v>0</v>
      </c>
      <c r="B12" s="82" t="s">
        <v>39</v>
      </c>
      <c r="C12" s="83">
        <v>0.000947916</v>
      </c>
      <c r="D12" s="84"/>
      <c r="E12" s="85">
        <v>2</v>
      </c>
      <c r="F12" s="73">
        <v>0.7766764495226759</v>
      </c>
      <c r="G12" s="73">
        <v>2.632933163881871</v>
      </c>
      <c r="H12" s="73">
        <v>-0.045626843399870234</v>
      </c>
      <c r="I12" s="73">
        <v>-0.1546749991255601</v>
      </c>
      <c r="J12" s="74">
        <v>2644.3546809741024</v>
      </c>
      <c r="K12" s="74">
        <v>-158.7444660978631</v>
      </c>
      <c r="L12" s="74">
        <v>-1.7681547234168105</v>
      </c>
      <c r="M12" s="73">
        <v>0.7766772042785255</v>
      </c>
      <c r="N12" s="73">
        <v>2.632935722504201</v>
      </c>
      <c r="O12" s="73">
        <v>-0.04561399386021266</v>
      </c>
      <c r="P12" s="73">
        <v>-0.15463143918612093</v>
      </c>
      <c r="Q12" s="75">
        <v>2750.352253496517</v>
      </c>
      <c r="R12" s="75">
        <v>-161.5272729948988</v>
      </c>
      <c r="S12" s="73">
        <v>2.2878397020774544</v>
      </c>
      <c r="T12" s="73">
        <v>0.43977363162155525</v>
      </c>
      <c r="U12" s="73">
        <v>30.163355189917556</v>
      </c>
      <c r="V12" s="76">
        <f>IF(ISERR(Q12*($V$2/30)^2),"",(Q12*($V$2/30)^2))</f>
        <v>1909.9668427059146</v>
      </c>
      <c r="W12" s="73">
        <f>IF(ISERR(((V12/453.59)*$V$2/375)*746),"",(((V12/453.59)*$V$2/375)*746))</f>
        <v>209.4160313144194</v>
      </c>
      <c r="X12" s="73">
        <v>-30.055332869124356</v>
      </c>
      <c r="Y12" s="73">
        <v>66.30591713087564</v>
      </c>
      <c r="Z12" s="86"/>
      <c r="AA12" s="87"/>
      <c r="AB12" s="87"/>
      <c r="AC12" s="88">
        <f t="shared" si="0"/>
        <v>0.243876642143457</v>
      </c>
      <c r="AR12" s="89"/>
      <c r="AT12" s="81"/>
      <c r="AU12" s="81"/>
      <c r="AV12" s="81"/>
      <c r="AW12" s="81"/>
      <c r="AX12" s="81"/>
    </row>
    <row r="13" spans="1:44" s="81" customFormat="1" ht="12.75">
      <c r="A13" s="56" t="s">
        <v>42</v>
      </c>
      <c r="B13" s="57" t="s">
        <v>39</v>
      </c>
      <c r="C13" s="58">
        <v>0</v>
      </c>
      <c r="D13" s="59">
        <v>4</v>
      </c>
      <c r="E13" s="60" t="s">
        <v>40</v>
      </c>
      <c r="F13" s="61">
        <v>0.7598309672289596</v>
      </c>
      <c r="G13" s="61">
        <v>2.5758269789061727</v>
      </c>
      <c r="H13" s="61">
        <v>-0.02346022780838322</v>
      </c>
      <c r="I13" s="61">
        <v>-0.07953017227041913</v>
      </c>
      <c r="J13" s="62">
        <v>2578.6170592489543</v>
      </c>
      <c r="K13" s="62">
        <v>-80.3915224836253</v>
      </c>
      <c r="L13" s="62">
        <v>-1.9224747501379682</v>
      </c>
      <c r="M13" s="61">
        <v>0.7598313552569687</v>
      </c>
      <c r="N13" s="61">
        <v>2.5758282943211235</v>
      </c>
      <c r="O13" s="61">
        <v>-0.02344765696771785</v>
      </c>
      <c r="P13" s="61">
        <v>-0.07948755712056352</v>
      </c>
      <c r="Q13" s="62">
        <v>2690.698103016409</v>
      </c>
      <c r="R13" s="62">
        <v>-83.03232774841359</v>
      </c>
      <c r="S13" s="63">
        <v>2.2821597364358444</v>
      </c>
      <c r="T13" s="63">
        <v>0.438681816003779</v>
      </c>
      <c r="U13" s="64">
        <v>30.12582673065315</v>
      </c>
      <c r="V13" s="65">
        <f>IF(ISERR(AVERAGE(V14:V15)),"",AVERAGE(V14:V15))</f>
        <v>1868.5403493169508</v>
      </c>
      <c r="W13" s="65">
        <f>IF(ISERR(AVERAGE(W14:W15)),"",AVERAGE(W14:W15))</f>
        <v>204.8738729675765</v>
      </c>
      <c r="X13" s="64">
        <v>-35.48602486578151</v>
      </c>
      <c r="Y13" s="64">
        <v>60.87522513421848</v>
      </c>
      <c r="Z13" s="66"/>
      <c r="AA13" s="67"/>
      <c r="AB13" s="67"/>
      <c r="AC13" s="61">
        <f t="shared" si="0"/>
        <v>0.23858704555068816</v>
      </c>
      <c r="AR13" s="89"/>
    </row>
    <row r="14" spans="1:50" s="80" customFormat="1" ht="12.75">
      <c r="A14" s="56">
        <v>0</v>
      </c>
      <c r="B14" s="69" t="s">
        <v>39</v>
      </c>
      <c r="C14" s="70">
        <v>0.000947916</v>
      </c>
      <c r="D14" s="71"/>
      <c r="E14" s="72">
        <v>1</v>
      </c>
      <c r="F14" s="73">
        <v>0.7557502067935987</v>
      </c>
      <c r="G14" s="73">
        <v>2.5619932010302997</v>
      </c>
      <c r="H14" s="73">
        <v>-0.02256037480070005</v>
      </c>
      <c r="I14" s="73">
        <v>-0.07647967057437316</v>
      </c>
      <c r="J14" s="74">
        <v>2574.7824547529785</v>
      </c>
      <c r="K14" s="74">
        <v>-77.44881934038976</v>
      </c>
      <c r="L14" s="74">
        <v>-2.0421704252836745</v>
      </c>
      <c r="M14" s="73">
        <v>0.7557505799347684</v>
      </c>
      <c r="N14" s="73">
        <v>2.561994465978865</v>
      </c>
      <c r="O14" s="73">
        <v>-0.022547871473300004</v>
      </c>
      <c r="P14" s="73">
        <v>-0.07643728429448703</v>
      </c>
      <c r="Q14" s="75">
        <v>2676.247351093218</v>
      </c>
      <c r="R14" s="75">
        <v>-79.84602712235824</v>
      </c>
      <c r="S14" s="73">
        <v>2.2914396547514726</v>
      </c>
      <c r="T14" s="73">
        <v>0.4404656225244497</v>
      </c>
      <c r="U14" s="73">
        <v>30.18707712483653</v>
      </c>
      <c r="V14" s="76">
        <f>IF(ISERR(Q14*($V$2/30)^2),"",(Q14*($V$2/30)^2))</f>
        <v>1858.5051049258461</v>
      </c>
      <c r="W14" s="73">
        <f>IF(ISERR(((V14/453.59)*$V$2/375)*746),"",(((V14/453.59)*$V$2/375)*746))</f>
        <v>203.77357059233836</v>
      </c>
      <c r="X14" s="73">
        <v>-36.4741206764352</v>
      </c>
      <c r="Y14" s="73">
        <v>59.88712932356479</v>
      </c>
      <c r="Z14" s="77"/>
      <c r="AA14" s="78"/>
      <c r="AB14" s="78"/>
      <c r="AC14" s="79">
        <f t="shared" si="0"/>
        <v>0.23730568209951727</v>
      </c>
      <c r="AR14" s="89"/>
      <c r="AT14" s="81"/>
      <c r="AU14" s="81"/>
      <c r="AV14" s="81"/>
      <c r="AW14" s="81"/>
      <c r="AX14" s="81"/>
    </row>
    <row r="15" spans="1:50" s="80" customFormat="1" ht="12.75">
      <c r="A15" s="56">
        <v>0</v>
      </c>
      <c r="B15" s="82" t="s">
        <v>39</v>
      </c>
      <c r="C15" s="83">
        <v>0.000947916</v>
      </c>
      <c r="D15" s="84"/>
      <c r="E15" s="85">
        <v>2</v>
      </c>
      <c r="F15" s="73">
        <v>0.7639117276643203</v>
      </c>
      <c r="G15" s="73">
        <v>2.5896607567820458</v>
      </c>
      <c r="H15" s="73">
        <v>-0.024360080816066398</v>
      </c>
      <c r="I15" s="73">
        <v>-0.0825806739664651</v>
      </c>
      <c r="J15" s="74">
        <v>2582.4516637449296</v>
      </c>
      <c r="K15" s="74">
        <v>-83.33422562686083</v>
      </c>
      <c r="L15" s="74">
        <v>-1.8027790749922619</v>
      </c>
      <c r="M15" s="73">
        <v>0.7639121305791687</v>
      </c>
      <c r="N15" s="73">
        <v>2.5896621226633822</v>
      </c>
      <c r="O15" s="73">
        <v>-0.024347442462135695</v>
      </c>
      <c r="P15" s="73">
        <v>-0.08253782994664001</v>
      </c>
      <c r="Q15" s="75">
        <v>2705.1488549395995</v>
      </c>
      <c r="R15" s="75">
        <v>-86.21862837446896</v>
      </c>
      <c r="S15" s="73">
        <v>2.272879818120216</v>
      </c>
      <c r="T15" s="73">
        <v>0.43689800948310825</v>
      </c>
      <c r="U15" s="73">
        <v>30.064576336469766</v>
      </c>
      <c r="V15" s="76">
        <f>IF(ISERR(Q15*($V$2/30)^2),"",(Q15*($V$2/30)^2))</f>
        <v>1878.5755937080555</v>
      </c>
      <c r="W15" s="73">
        <f>IF(ISERR(((V15/453.59)*$V$2/375)*746),"",(((V15/453.59)*$V$2/375)*746))</f>
        <v>205.97417534281462</v>
      </c>
      <c r="X15" s="73">
        <v>-34.49792905512782</v>
      </c>
      <c r="Y15" s="73">
        <v>61.86332094487218</v>
      </c>
      <c r="Z15" s="86"/>
      <c r="AA15" s="87"/>
      <c r="AB15" s="87"/>
      <c r="AC15" s="88">
        <f t="shared" si="0"/>
        <v>0.239868409001859</v>
      </c>
      <c r="AR15" s="89"/>
      <c r="AT15" s="81"/>
      <c r="AU15" s="81"/>
      <c r="AV15" s="81"/>
      <c r="AW15" s="81"/>
      <c r="AX15" s="81"/>
    </row>
    <row r="16" spans="1:44" s="81" customFormat="1" ht="12.75">
      <c r="A16" s="56">
        <v>0</v>
      </c>
      <c r="B16" s="57" t="s">
        <v>39</v>
      </c>
      <c r="C16" s="58">
        <v>-7.5</v>
      </c>
      <c r="D16" s="59">
        <v>5</v>
      </c>
      <c r="E16" s="60" t="s">
        <v>40</v>
      </c>
      <c r="F16" s="61">
        <v>0.8242168169825967</v>
      </c>
      <c r="G16" s="61">
        <v>2.794095009571003</v>
      </c>
      <c r="H16" s="61">
        <v>-0.6274390045490678</v>
      </c>
      <c r="I16" s="61">
        <v>-2.12701822542134</v>
      </c>
      <c r="J16" s="62">
        <v>2812.0457975655813</v>
      </c>
      <c r="K16" s="62">
        <v>-2205.6868573726438</v>
      </c>
      <c r="L16" s="62">
        <v>-1.9629975624604428</v>
      </c>
      <c r="M16" s="61">
        <v>0.7352815035967117</v>
      </c>
      <c r="N16" s="61">
        <v>2.4926042971928526</v>
      </c>
      <c r="O16" s="61">
        <v>-0.7296397578908425</v>
      </c>
      <c r="P16" s="61">
        <v>-2.473478779249956</v>
      </c>
      <c r="Q16" s="62">
        <v>2603.762707636143</v>
      </c>
      <c r="R16" s="62">
        <v>-2583.784281682203</v>
      </c>
      <c r="S16" s="63">
        <v>2.288200283576736</v>
      </c>
      <c r="T16" s="63">
        <v>0.43984294339863933</v>
      </c>
      <c r="U16" s="64">
        <v>30.165731471423218</v>
      </c>
      <c r="V16" s="65">
        <f>IF(ISERR(AVERAGE(V17:V18)),"",AVERAGE(V17:V18))</f>
        <v>1808.168546969544</v>
      </c>
      <c r="W16" s="65">
        <f>IF(ISERR(AVERAGE(W17:W18)),"",AVERAGE(W17:W18))</f>
        <v>198.25447886700618</v>
      </c>
      <c r="X16" s="64">
        <v>-28.95642755198383</v>
      </c>
      <c r="Y16" s="64">
        <v>67.40482244801618</v>
      </c>
      <c r="Z16" s="66"/>
      <c r="AA16" s="67"/>
      <c r="AB16" s="67"/>
      <c r="AC16" s="61">
        <f t="shared" si="0"/>
        <v>0.23087839212936748</v>
      </c>
      <c r="AR16" s="89"/>
    </row>
    <row r="17" spans="1:50" s="80" customFormat="1" ht="12.75">
      <c r="A17" s="56">
        <v>0</v>
      </c>
      <c r="B17" s="69" t="s">
        <v>39</v>
      </c>
      <c r="C17" s="70">
        <v>-7.498963476</v>
      </c>
      <c r="D17" s="71"/>
      <c r="E17" s="72">
        <v>1</v>
      </c>
      <c r="F17" s="73">
        <v>0.8268177051585895</v>
      </c>
      <c r="G17" s="73">
        <v>2.8029120204876183</v>
      </c>
      <c r="H17" s="73">
        <v>-0.6327144109584784</v>
      </c>
      <c r="I17" s="73">
        <v>-2.1449018531492414</v>
      </c>
      <c r="J17" s="74">
        <v>2822.333264996654</v>
      </c>
      <c r="K17" s="74">
        <v>-2225.580067891654</v>
      </c>
      <c r="L17" s="74">
        <v>-1.5233220711328834</v>
      </c>
      <c r="M17" s="73">
        <v>0.7371716628636117</v>
      </c>
      <c r="N17" s="73">
        <v>2.499011937107644</v>
      </c>
      <c r="O17" s="73">
        <v>-0.7352094823036138</v>
      </c>
      <c r="P17" s="73">
        <v>-2.4923601450092505</v>
      </c>
      <c r="Q17" s="75">
        <v>2610.4560981084633</v>
      </c>
      <c r="R17" s="75">
        <v>-2603.5076674152115</v>
      </c>
      <c r="S17" s="73">
        <v>2.2891248668372857</v>
      </c>
      <c r="T17" s="73">
        <v>0.4400206688476116</v>
      </c>
      <c r="U17" s="73">
        <v>30.17182594044748</v>
      </c>
      <c r="V17" s="76">
        <f>IF(ISERR(Q17*($V$2/30)^2),"",(Q17*($V$2/30)^2))</f>
        <v>1812.816734797544</v>
      </c>
      <c r="W17" s="73">
        <f>IF(ISERR(((V17/453.59)*$V$2/375)*746),"",(((V17/453.59)*$V$2/375)*746))</f>
        <v>198.76412386501292</v>
      </c>
      <c r="X17" s="73">
        <v>-28.86273523044008</v>
      </c>
      <c r="Y17" s="73">
        <v>67.49851476955992</v>
      </c>
      <c r="Z17" s="77"/>
      <c r="AA17" s="78"/>
      <c r="AB17" s="78"/>
      <c r="AC17" s="79">
        <f t="shared" si="0"/>
        <v>0.23147190213917407</v>
      </c>
      <c r="AR17" s="81"/>
      <c r="AS17" s="81"/>
      <c r="AT17" s="81"/>
      <c r="AU17" s="81"/>
      <c r="AV17" s="81"/>
      <c r="AW17" s="81"/>
      <c r="AX17" s="81"/>
    </row>
    <row r="18" spans="1:50" s="80" customFormat="1" ht="12.75">
      <c r="A18" s="56">
        <v>0</v>
      </c>
      <c r="B18" s="82" t="s">
        <v>39</v>
      </c>
      <c r="C18" s="83">
        <v>-7.498963476</v>
      </c>
      <c r="D18" s="84"/>
      <c r="E18" s="85">
        <v>2</v>
      </c>
      <c r="F18" s="73">
        <v>0.821615928806604</v>
      </c>
      <c r="G18" s="73">
        <v>2.7852779986543874</v>
      </c>
      <c r="H18" s="73">
        <v>-0.6221635981396573</v>
      </c>
      <c r="I18" s="73">
        <v>-2.109134597693438</v>
      </c>
      <c r="J18" s="74">
        <v>2801.7583301345085</v>
      </c>
      <c r="K18" s="74">
        <v>-2185.7936468536336</v>
      </c>
      <c r="L18" s="74">
        <v>-2.402673053788002</v>
      </c>
      <c r="M18" s="73">
        <v>0.7333913443298116</v>
      </c>
      <c r="N18" s="73">
        <v>2.4861966572780614</v>
      </c>
      <c r="O18" s="73">
        <v>-0.7240700334780714</v>
      </c>
      <c r="P18" s="73">
        <v>-2.454597413490662</v>
      </c>
      <c r="Q18" s="75">
        <v>2597.069317163823</v>
      </c>
      <c r="R18" s="75">
        <v>-2564.060895949195</v>
      </c>
      <c r="S18" s="73">
        <v>2.2872757003161865</v>
      </c>
      <c r="T18" s="73">
        <v>0.4396652179496669</v>
      </c>
      <c r="U18" s="73">
        <v>30.159637002398956</v>
      </c>
      <c r="V18" s="76">
        <f>IF(ISERR(Q18*($V$2/30)^2),"",(Q18*($V$2/30)^2))</f>
        <v>1803.520359141544</v>
      </c>
      <c r="W18" s="73">
        <f>IF(ISERR(((V18/453.59)*$V$2/375)*746),"",(((V18/453.59)*$V$2/375)*746))</f>
        <v>197.74483386899945</v>
      </c>
      <c r="X18" s="73">
        <v>-29.05011987352758</v>
      </c>
      <c r="Y18" s="73">
        <v>67.31113012647242</v>
      </c>
      <c r="Z18" s="86"/>
      <c r="AA18" s="87"/>
      <c r="AB18" s="87"/>
      <c r="AC18" s="88">
        <f t="shared" si="0"/>
        <v>0.23028488211956083</v>
      </c>
      <c r="AR18" s="81"/>
      <c r="AS18" s="81"/>
      <c r="AT18" s="81"/>
      <c r="AU18" s="81"/>
      <c r="AV18" s="81"/>
      <c r="AW18" s="81"/>
      <c r="AX18" s="81"/>
    </row>
    <row r="19" spans="1:29" s="81" customFormat="1" ht="12.75">
      <c r="A19" s="56" t="s">
        <v>43</v>
      </c>
      <c r="B19" s="57" t="s">
        <v>39</v>
      </c>
      <c r="C19" s="58">
        <v>0</v>
      </c>
      <c r="D19" s="59">
        <v>6</v>
      </c>
      <c r="E19" s="60" t="s">
        <v>40</v>
      </c>
      <c r="F19" s="61">
        <v>0.7533663570256051</v>
      </c>
      <c r="G19" s="61">
        <v>2.553911950316801</v>
      </c>
      <c r="H19" s="61">
        <v>-0.02439840119638431</v>
      </c>
      <c r="I19" s="61">
        <v>-0.0827105800557428</v>
      </c>
      <c r="J19" s="62">
        <v>2551.398850524347</v>
      </c>
      <c r="K19" s="62">
        <v>-83.07591249861045</v>
      </c>
      <c r="L19" s="62">
        <v>-2.389516652973433</v>
      </c>
      <c r="M19" s="61">
        <v>0.7533659532691255</v>
      </c>
      <c r="N19" s="61">
        <v>2.5539105815823353</v>
      </c>
      <c r="O19" s="61">
        <v>-0.024410865078338756</v>
      </c>
      <c r="P19" s="61">
        <v>-0.08275283261556837</v>
      </c>
      <c r="Q19" s="62">
        <v>2667.8029635310886</v>
      </c>
      <c r="R19" s="62">
        <v>-86.4432191496788</v>
      </c>
      <c r="S19" s="63">
        <v>2.278068899736014</v>
      </c>
      <c r="T19" s="63">
        <v>0.4378954662825894</v>
      </c>
      <c r="U19" s="64">
        <v>30.098875132578797</v>
      </c>
      <c r="V19" s="65">
        <f>IF(ISERR(AVERAGE(V20:V21)),"",AVERAGE(V20:V21))</f>
        <v>1852.6409468965896</v>
      </c>
      <c r="W19" s="65">
        <f>IF(ISERR(AVERAGE(W20:W21)),"",AVERAGE(W20:W21))</f>
        <v>203.13060199517273</v>
      </c>
      <c r="X19" s="64">
        <v>-37.47829155943719</v>
      </c>
      <c r="Y19" s="64">
        <v>58.88295844056282</v>
      </c>
      <c r="Z19" s="66"/>
      <c r="AA19" s="67"/>
      <c r="AB19" s="67"/>
      <c r="AC19" s="61">
        <f t="shared" si="0"/>
        <v>0.2365569093265054</v>
      </c>
    </row>
    <row r="20" spans="1:50" s="80" customFormat="1" ht="12.75">
      <c r="A20" s="56">
        <v>0</v>
      </c>
      <c r="B20" s="69" t="s">
        <v>39</v>
      </c>
      <c r="C20" s="91">
        <v>-0.000947916</v>
      </c>
      <c r="D20" s="71"/>
      <c r="E20" s="72">
        <v>1</v>
      </c>
      <c r="F20" s="73">
        <v>0.7483178046975103</v>
      </c>
      <c r="G20" s="73">
        <v>2.53679735792456</v>
      </c>
      <c r="H20" s="73">
        <v>-0.024298327891063898</v>
      </c>
      <c r="I20" s="73">
        <v>-0.08237133155070661</v>
      </c>
      <c r="J20" s="74">
        <v>2535.0252407113962</v>
      </c>
      <c r="K20" s="74">
        <v>-82.85720738444168</v>
      </c>
      <c r="L20" s="74">
        <v>-2.301590188208076</v>
      </c>
      <c r="M20" s="73">
        <v>0.74831740259736</v>
      </c>
      <c r="N20" s="73">
        <v>2.5367959948050505</v>
      </c>
      <c r="O20" s="73">
        <v>-0.024310708248493774</v>
      </c>
      <c r="P20" s="73">
        <v>-0.08241330096239388</v>
      </c>
      <c r="Q20" s="75">
        <v>2649.9251468004177</v>
      </c>
      <c r="R20" s="75">
        <v>-86.08854598410919</v>
      </c>
      <c r="S20" s="73">
        <v>2.279239499929165</v>
      </c>
      <c r="T20" s="73">
        <v>0.43812048165305056</v>
      </c>
      <c r="U20" s="73">
        <v>30.106608382300475</v>
      </c>
      <c r="V20" s="76">
        <f>IF(ISERR(Q20*($V$2/30)^2),"",(Q20*($V$2/30)^2))</f>
        <v>1840.225796389179</v>
      </c>
      <c r="W20" s="73">
        <f>IF(ISERR(((V20/453.59)*$V$2/375)*746),"",(((V20/453.59)*$V$2/375)*746))</f>
        <v>201.76935765872668</v>
      </c>
      <c r="X20" s="73">
        <v>-37.072251720900034</v>
      </c>
      <c r="Y20" s="73">
        <v>59.28899827909997</v>
      </c>
      <c r="Z20" s="77"/>
      <c r="AA20" s="78"/>
      <c r="AB20" s="78"/>
      <c r="AC20" s="79">
        <f t="shared" si="0"/>
        <v>0.23497166441557105</v>
      </c>
      <c r="AR20" s="81"/>
      <c r="AS20" s="81"/>
      <c r="AT20" s="81"/>
      <c r="AU20" s="81"/>
      <c r="AV20" s="81"/>
      <c r="AW20" s="81"/>
      <c r="AX20" s="81"/>
    </row>
    <row r="21" spans="1:50" s="80" customFormat="1" ht="12.75">
      <c r="A21" s="56">
        <v>0</v>
      </c>
      <c r="B21" s="82" t="s">
        <v>39</v>
      </c>
      <c r="C21" s="83">
        <v>-0.000947916</v>
      </c>
      <c r="D21" s="84"/>
      <c r="E21" s="85">
        <v>2</v>
      </c>
      <c r="F21" s="73">
        <v>0.7584149093536997</v>
      </c>
      <c r="G21" s="73">
        <v>2.571026542709042</v>
      </c>
      <c r="H21" s="73">
        <v>-0.024498474501704722</v>
      </c>
      <c r="I21" s="73">
        <v>-0.08304982856077901</v>
      </c>
      <c r="J21" s="74">
        <v>2567.772460337298</v>
      </c>
      <c r="K21" s="74">
        <v>-83.29461761277923</v>
      </c>
      <c r="L21" s="74">
        <v>-2.4774431177387903</v>
      </c>
      <c r="M21" s="73">
        <v>0.758414503940891</v>
      </c>
      <c r="N21" s="73">
        <v>2.5710251683596206</v>
      </c>
      <c r="O21" s="73">
        <v>-0.024511021908183737</v>
      </c>
      <c r="P21" s="73">
        <v>-0.08309236426874288</v>
      </c>
      <c r="Q21" s="75">
        <v>2685.68078026176</v>
      </c>
      <c r="R21" s="75">
        <v>-86.7978923152484</v>
      </c>
      <c r="S21" s="73">
        <v>2.2768982995428626</v>
      </c>
      <c r="T21" s="73">
        <v>0.43767045091212803</v>
      </c>
      <c r="U21" s="73">
        <v>30.091141882857123</v>
      </c>
      <c r="V21" s="76">
        <f>IF(ISERR(Q21*($V$2/30)^2),"",(Q21*($V$2/30)^2))</f>
        <v>1865.0560974040002</v>
      </c>
      <c r="W21" s="73">
        <f>IF(ISERR(((V21/453.59)*$V$2/375)*746),"",(((V21/453.59)*$V$2/375)*746))</f>
        <v>204.49184633161877</v>
      </c>
      <c r="X21" s="73">
        <v>-37.88433139797434</v>
      </c>
      <c r="Y21" s="73">
        <v>58.476918602025656</v>
      </c>
      <c r="Z21" s="86"/>
      <c r="AA21" s="87"/>
      <c r="AB21" s="87"/>
      <c r="AC21" s="88">
        <f t="shared" si="0"/>
        <v>0.23814215423743978</v>
      </c>
      <c r="AR21" s="81"/>
      <c r="AS21" s="81"/>
      <c r="AT21" s="81"/>
      <c r="AU21" s="81"/>
      <c r="AV21" s="81"/>
      <c r="AW21" s="81"/>
      <c r="AX21" s="81"/>
    </row>
    <row r="22" spans="1:29" s="81" customFormat="1" ht="12.75">
      <c r="A22" s="56">
        <v>0</v>
      </c>
      <c r="B22" s="57" t="s">
        <v>39</v>
      </c>
      <c r="C22" s="58">
        <v>-7.5</v>
      </c>
      <c r="D22" s="59">
        <v>7</v>
      </c>
      <c r="E22" s="60" t="s">
        <v>40</v>
      </c>
      <c r="F22" s="61">
        <v>0.8333235787758676</v>
      </c>
      <c r="G22" s="61">
        <v>2.8249669320501907</v>
      </c>
      <c r="H22" s="61">
        <v>-0.6252311028107677</v>
      </c>
      <c r="I22" s="61">
        <v>-2.119533438528502</v>
      </c>
      <c r="J22" s="62">
        <v>2830.7225948951245</v>
      </c>
      <c r="K22" s="62">
        <v>-2187.9677917643185</v>
      </c>
      <c r="L22" s="62">
        <v>-1.5675339066446714</v>
      </c>
      <c r="M22" s="61">
        <v>0.744610581380414</v>
      </c>
      <c r="N22" s="61">
        <v>2.524229870879603</v>
      </c>
      <c r="O22" s="61">
        <v>-0.7286269285183674</v>
      </c>
      <c r="P22" s="61">
        <v>-2.470045287677266</v>
      </c>
      <c r="Q22" s="62">
        <v>2636.7986329396085</v>
      </c>
      <c r="R22" s="62">
        <v>-2580.197672558556</v>
      </c>
      <c r="S22" s="63">
        <v>2.27745440697063</v>
      </c>
      <c r="T22" s="63">
        <v>0.4377773471176878</v>
      </c>
      <c r="U22" s="64">
        <v>30.094815063163175</v>
      </c>
      <c r="V22" s="65">
        <f>IF(ISERR(AVERAGE(V23:V24)),"",AVERAGE(V23:V24))</f>
        <v>1831.1101617636173</v>
      </c>
      <c r="W22" s="65">
        <f>IF(ISERR(AVERAGE(W23:W24)),"",AVERAGE(W23:W24))</f>
        <v>200.76988479693975</v>
      </c>
      <c r="X22" s="64">
        <v>-28.93430390327846</v>
      </c>
      <c r="Y22" s="64">
        <v>67.42694609672154</v>
      </c>
      <c r="Z22" s="66"/>
      <c r="AA22" s="67"/>
      <c r="AB22" s="67"/>
      <c r="AC22" s="61">
        <f t="shared" si="0"/>
        <v>0.23380772255345</v>
      </c>
    </row>
    <row r="23" spans="1:50" s="80" customFormat="1" ht="12.75">
      <c r="A23" s="56">
        <v>0</v>
      </c>
      <c r="B23" s="69" t="s">
        <v>39</v>
      </c>
      <c r="C23" s="70">
        <v>-7.49801556</v>
      </c>
      <c r="D23" s="71"/>
      <c r="E23" s="72">
        <v>1</v>
      </c>
      <c r="F23" s="73">
        <v>0.8308109783151093</v>
      </c>
      <c r="G23" s="73">
        <v>2.8164492164882207</v>
      </c>
      <c r="H23" s="73">
        <v>-0.6216243448254232</v>
      </c>
      <c r="I23" s="73">
        <v>-2.1073065289581843</v>
      </c>
      <c r="J23" s="74">
        <v>2823.594599339508</v>
      </c>
      <c r="K23" s="74">
        <v>-2176.5608562943817</v>
      </c>
      <c r="L23" s="74">
        <v>-1.6362520858604452</v>
      </c>
      <c r="M23" s="73">
        <v>0.742590117741907</v>
      </c>
      <c r="N23" s="73">
        <v>2.5173804991450646</v>
      </c>
      <c r="O23" s="73">
        <v>-0.724723136653306</v>
      </c>
      <c r="P23" s="73">
        <v>-2.4568114332547073</v>
      </c>
      <c r="Q23" s="75">
        <v>2629.6438114891225</v>
      </c>
      <c r="R23" s="75">
        <v>-2566.3736505657553</v>
      </c>
      <c r="S23" s="73">
        <v>2.2787988576388556</v>
      </c>
      <c r="T23" s="73">
        <v>0.43803578041280233</v>
      </c>
      <c r="U23" s="73">
        <v>30.103698006686216</v>
      </c>
      <c r="V23" s="76">
        <f>IF(ISERR(Q23*($V$2/30)^2),"",(Q23*($V$2/30)^2))</f>
        <v>1826.1415357563353</v>
      </c>
      <c r="W23" s="73">
        <f>IF(ISERR(((V23/453.59)*$V$2/375)*746),"",(((V23/453.59)*$V$2/375)*746))</f>
        <v>200.22510573781406</v>
      </c>
      <c r="X23" s="73">
        <v>-28.95587750344139</v>
      </c>
      <c r="Y23" s="73">
        <v>67.40537249655861</v>
      </c>
      <c r="Z23" s="77"/>
      <c r="AA23" s="78"/>
      <c r="AB23" s="78"/>
      <c r="AC23" s="79">
        <f t="shared" si="0"/>
        <v>0.2331732969709588</v>
      </c>
      <c r="AR23" s="81"/>
      <c r="AS23" s="81"/>
      <c r="AT23" s="81"/>
      <c r="AU23" s="81"/>
      <c r="AV23" s="81"/>
      <c r="AW23" s="81"/>
      <c r="AX23" s="81"/>
    </row>
    <row r="24" spans="1:50" s="80" customFormat="1" ht="12.75">
      <c r="A24" s="56">
        <v>0</v>
      </c>
      <c r="B24" s="82" t="s">
        <v>39</v>
      </c>
      <c r="C24" s="83">
        <v>-7.49801556</v>
      </c>
      <c r="D24" s="84"/>
      <c r="E24" s="85">
        <v>2</v>
      </c>
      <c r="F24" s="73">
        <v>0.8358361792366255</v>
      </c>
      <c r="G24" s="73">
        <v>2.8334846476121602</v>
      </c>
      <c r="H24" s="73">
        <v>-0.6288378607961123</v>
      </c>
      <c r="I24" s="73">
        <v>-2.1317603480988203</v>
      </c>
      <c r="J24" s="74">
        <v>2837.8505904507406</v>
      </c>
      <c r="K24" s="74">
        <v>-2199.3747272342557</v>
      </c>
      <c r="L24" s="74">
        <v>-1.4988157274288978</v>
      </c>
      <c r="M24" s="73">
        <v>0.7466310450189209</v>
      </c>
      <c r="N24" s="73">
        <v>2.5310792426141417</v>
      </c>
      <c r="O24" s="73">
        <v>-0.7325307203834288</v>
      </c>
      <c r="P24" s="73">
        <v>-2.483279142099824</v>
      </c>
      <c r="Q24" s="75">
        <v>2643.9534543900945</v>
      </c>
      <c r="R24" s="75">
        <v>-2594.0216945513566</v>
      </c>
      <c r="S24" s="73">
        <v>2.2761099563024048</v>
      </c>
      <c r="T24" s="73">
        <v>0.4375189138225733</v>
      </c>
      <c r="U24" s="73">
        <v>30.08593211964013</v>
      </c>
      <c r="V24" s="76">
        <f>IF(ISERR(Q24*($V$2/30)^2),"",(Q24*($V$2/30)^2))</f>
        <v>1836.0787877708992</v>
      </c>
      <c r="W24" s="73">
        <f>IF(ISERR(((V24/453.59)*$V$2/375)*746),"",(((V24/453.59)*$V$2/375)*746))</f>
        <v>201.31466385606544</v>
      </c>
      <c r="X24" s="73">
        <v>-28.912730303115538</v>
      </c>
      <c r="Y24" s="73">
        <v>67.44851969688447</v>
      </c>
      <c r="Z24" s="86"/>
      <c r="AA24" s="87"/>
      <c r="AB24" s="87"/>
      <c r="AC24" s="88">
        <f t="shared" si="0"/>
        <v>0.23444214813594116</v>
      </c>
      <c r="AR24" s="81"/>
      <c r="AS24" s="81"/>
      <c r="AT24" s="81"/>
      <c r="AU24" s="81"/>
      <c r="AV24" s="81"/>
      <c r="AW24" s="81"/>
      <c r="AX24" s="81"/>
    </row>
    <row r="25" spans="1:29" s="81" customFormat="1" ht="12.75">
      <c r="A25" s="56" t="s">
        <v>44</v>
      </c>
      <c r="B25" s="57" t="s">
        <v>39</v>
      </c>
      <c r="C25" s="58">
        <v>0</v>
      </c>
      <c r="D25" s="59">
        <v>8</v>
      </c>
      <c r="E25" s="60" t="s">
        <v>40</v>
      </c>
      <c r="F25" s="61">
        <v>0.7307165142547589</v>
      </c>
      <c r="G25" s="61">
        <v>2.477128983323633</v>
      </c>
      <c r="H25" s="61">
        <v>-0.023574342606161387</v>
      </c>
      <c r="I25" s="61">
        <v>-0.0799170214348871</v>
      </c>
      <c r="J25" s="62">
        <v>2468.843989845344</v>
      </c>
      <c r="K25" s="62">
        <v>-80.22051919008784</v>
      </c>
      <c r="L25" s="62">
        <v>-2.2667562855042</v>
      </c>
      <c r="M25" s="61">
        <v>0.7307161241348149</v>
      </c>
      <c r="N25" s="61">
        <v>2.4771276608170223</v>
      </c>
      <c r="O25" s="61">
        <v>-0.02358643176344885</v>
      </c>
      <c r="P25" s="61">
        <v>-0.07995800367809161</v>
      </c>
      <c r="Q25" s="62">
        <v>2587.595886179399</v>
      </c>
      <c r="R25" s="62">
        <v>-83.52375400640688</v>
      </c>
      <c r="S25" s="63">
        <v>2.275093145296491</v>
      </c>
      <c r="T25" s="63">
        <v>0.4373234601514366</v>
      </c>
      <c r="U25" s="64">
        <v>30.07920458731046</v>
      </c>
      <c r="V25" s="65">
        <f>IF(ISERR(AVERAGE(V26:V27)),"",AVERAGE(V26:V27))</f>
        <v>1796.9415876245826</v>
      </c>
      <c r="W25" s="65">
        <f>IF(ISERR(AVERAGE(W26:W27)),"",AVERAGE(W26:W27))</f>
        <v>197.0235123302158</v>
      </c>
      <c r="X25" s="64">
        <v>-37.59487239120966</v>
      </c>
      <c r="Y25" s="64">
        <v>58.766377608790336</v>
      </c>
      <c r="Z25" s="66"/>
      <c r="AA25" s="67"/>
      <c r="AB25" s="67"/>
      <c r="AC25" s="61">
        <f t="shared" si="0"/>
        <v>0.2294448629783319</v>
      </c>
    </row>
    <row r="26" spans="1:50" s="80" customFormat="1" ht="12.75">
      <c r="A26" s="56">
        <v>0</v>
      </c>
      <c r="B26" s="69" t="s">
        <v>39</v>
      </c>
      <c r="C26" s="70">
        <v>-0.000947916</v>
      </c>
      <c r="D26" s="71"/>
      <c r="E26" s="72">
        <v>1</v>
      </c>
      <c r="F26" s="73">
        <v>0.7319608229811911</v>
      </c>
      <c r="G26" s="73">
        <v>2.4813471899062383</v>
      </c>
      <c r="H26" s="73">
        <v>-0.027055684555885105</v>
      </c>
      <c r="I26" s="73">
        <v>-0.09171877064445051</v>
      </c>
      <c r="J26" s="74">
        <v>2476.470029801634</v>
      </c>
      <c r="K26" s="74">
        <v>-92.57288070093631</v>
      </c>
      <c r="L26" s="74">
        <v>-2.2026567268272275</v>
      </c>
      <c r="M26" s="73">
        <v>0.7319603752648669</v>
      </c>
      <c r="N26" s="73">
        <v>2.481345672147899</v>
      </c>
      <c r="O26" s="73">
        <v>-0.027067794298857285</v>
      </c>
      <c r="P26" s="73">
        <v>-0.0917598226731262</v>
      </c>
      <c r="Q26" s="75">
        <v>2592.00200094703</v>
      </c>
      <c r="R26" s="75">
        <v>-95.85187853710346</v>
      </c>
      <c r="S26" s="73">
        <v>2.2781093125579344</v>
      </c>
      <c r="T26" s="73">
        <v>0.4379032345250252</v>
      </c>
      <c r="U26" s="73">
        <v>30.09914310107582</v>
      </c>
      <c r="V26" s="76">
        <f>IF(ISERR(Q26*($V$2/30)^2),"",(Q26*($V$2/30)^2))</f>
        <v>1800.0013895465488</v>
      </c>
      <c r="W26" s="73">
        <f>IF(ISERR(((V26/453.59)*$V$2/375)*746),"",(((V26/453.59)*$V$2/375)*746))</f>
        <v>197.35900065429507</v>
      </c>
      <c r="X26" s="73">
        <v>-35.4156830011079</v>
      </c>
      <c r="Y26" s="73">
        <v>60.945566998892104</v>
      </c>
      <c r="Z26" s="77"/>
      <c r="AA26" s="78"/>
      <c r="AB26" s="78"/>
      <c r="AC26" s="79">
        <f t="shared" si="0"/>
        <v>0.2298355578331682</v>
      </c>
      <c r="AR26" s="81"/>
      <c r="AS26" s="81"/>
      <c r="AT26" s="81"/>
      <c r="AU26" s="81"/>
      <c r="AV26" s="81"/>
      <c r="AW26" s="81"/>
      <c r="AX26" s="81"/>
    </row>
    <row r="27" spans="1:50" s="80" customFormat="1" ht="12.75">
      <c r="A27" s="56">
        <v>0</v>
      </c>
      <c r="B27" s="82" t="s">
        <v>39</v>
      </c>
      <c r="C27" s="83">
        <v>-0.000947916</v>
      </c>
      <c r="D27" s="84"/>
      <c r="E27" s="85">
        <v>2</v>
      </c>
      <c r="F27" s="73">
        <v>0.7294722055283268</v>
      </c>
      <c r="G27" s="73">
        <v>2.472910776741028</v>
      </c>
      <c r="H27" s="73">
        <v>-0.020093000656437664</v>
      </c>
      <c r="I27" s="73">
        <v>-0.06811527222532368</v>
      </c>
      <c r="J27" s="74">
        <v>2461.2179498890537</v>
      </c>
      <c r="K27" s="74">
        <v>-67.86815767923937</v>
      </c>
      <c r="L27" s="74">
        <v>-2.3308558441811718</v>
      </c>
      <c r="M27" s="73">
        <v>0.7294718730047629</v>
      </c>
      <c r="N27" s="73">
        <v>2.4729096494861458</v>
      </c>
      <c r="O27" s="73">
        <v>-0.020105069228040416</v>
      </c>
      <c r="P27" s="73">
        <v>-0.06815618468305701</v>
      </c>
      <c r="Q27" s="75">
        <v>2583.189771411767</v>
      </c>
      <c r="R27" s="75">
        <v>-71.19562947571028</v>
      </c>
      <c r="S27" s="73">
        <v>2.2720769780350474</v>
      </c>
      <c r="T27" s="73">
        <v>0.43674368577784806</v>
      </c>
      <c r="U27" s="73">
        <v>30.0592660735451</v>
      </c>
      <c r="V27" s="76">
        <f>IF(ISERR(Q27*($V$2/30)^2),"",(Q27*($V$2/30)^2))</f>
        <v>1793.8817857026163</v>
      </c>
      <c r="W27" s="73">
        <f>IF(ISERR(((V27/453.59)*$V$2/375)*746),"",(((V27/453.59)*$V$2/375)*746))</f>
        <v>196.6880240061365</v>
      </c>
      <c r="X27" s="73">
        <v>-39.774061781311424</v>
      </c>
      <c r="Y27" s="73">
        <v>56.587188218688574</v>
      </c>
      <c r="Z27" s="86"/>
      <c r="AA27" s="87"/>
      <c r="AB27" s="87"/>
      <c r="AC27" s="88">
        <f t="shared" si="0"/>
        <v>0.22905416812349555</v>
      </c>
      <c r="AR27" s="81"/>
      <c r="AS27" s="81"/>
      <c r="AT27" s="81"/>
      <c r="AU27" s="81"/>
      <c r="AV27" s="81"/>
      <c r="AW27" s="81"/>
      <c r="AX27" s="81"/>
    </row>
    <row r="28" spans="1:29" s="81" customFormat="1" ht="12.75">
      <c r="A28"/>
      <c r="B28" s="57" t="s">
        <v>39</v>
      </c>
      <c r="C28" s="58">
        <v>-7.5</v>
      </c>
      <c r="D28" s="59">
        <v>9</v>
      </c>
      <c r="E28" s="60" t="s">
        <v>40</v>
      </c>
      <c r="F28" s="61">
        <v>0.7851411310131049</v>
      </c>
      <c r="G28" s="61">
        <v>2.6616284341344256</v>
      </c>
      <c r="H28" s="61">
        <v>-0.6340324033940686</v>
      </c>
      <c r="I28" s="61">
        <v>-2.1493698475058927</v>
      </c>
      <c r="J28" s="62">
        <v>2698.71442807125</v>
      </c>
      <c r="K28" s="62">
        <v>-2248.721845810862</v>
      </c>
      <c r="L28" s="62">
        <v>-2.2879167841997328</v>
      </c>
      <c r="M28" s="61">
        <v>0.6956916253184261</v>
      </c>
      <c r="N28" s="61">
        <v>2.3583946098294644</v>
      </c>
      <c r="O28" s="61">
        <v>-0.7310655556268557</v>
      </c>
      <c r="P28" s="61">
        <v>-2.478312233575041</v>
      </c>
      <c r="Q28" s="62">
        <v>2463.567900400256</v>
      </c>
      <c r="R28" s="62">
        <v>-2588.8332853025904</v>
      </c>
      <c r="S28" s="63">
        <v>2.3088879143806644</v>
      </c>
      <c r="T28" s="63">
        <v>0.44381956576428333</v>
      </c>
      <c r="U28" s="64">
        <v>30.30178884870668</v>
      </c>
      <c r="V28" s="65">
        <f>IF(ISERR(AVERAGE(V29:V30)),"",AVERAGE(V29:V30))</f>
        <v>1710.8110419446225</v>
      </c>
      <c r="W28" s="65">
        <f>IF(ISERR(AVERAGE(W29:W30)),"",AVERAGE(W29:W30))</f>
        <v>187.57983160867576</v>
      </c>
      <c r="X28" s="64">
        <v>-28.829581858127483</v>
      </c>
      <c r="Y28" s="64">
        <v>67.53166814187253</v>
      </c>
      <c r="Z28" s="66"/>
      <c r="AA28" s="67"/>
      <c r="AB28" s="67"/>
      <c r="AC28" s="61">
        <f t="shared" si="0"/>
        <v>0.2184471703499858</v>
      </c>
    </row>
    <row r="29" spans="1:50" s="80" customFormat="1" ht="12.75">
      <c r="A29" s="56">
        <v>0</v>
      </c>
      <c r="B29" s="69" t="s">
        <v>39</v>
      </c>
      <c r="C29" s="70">
        <v>-7.49801556</v>
      </c>
      <c r="D29" s="71"/>
      <c r="E29" s="72">
        <v>1</v>
      </c>
      <c r="F29" s="73">
        <v>0.7713943201328277</v>
      </c>
      <c r="G29" s="73">
        <v>2.615026745250286</v>
      </c>
      <c r="H29" s="73">
        <v>-0.633703091916517</v>
      </c>
      <c r="I29" s="73">
        <v>-2.1482534815969925</v>
      </c>
      <c r="J29" s="74">
        <v>2651.0504455562614</v>
      </c>
      <c r="K29" s="74">
        <v>-2248.3323096141103</v>
      </c>
      <c r="L29" s="74">
        <v>-2.4603597040257483</v>
      </c>
      <c r="M29" s="73">
        <v>0.6821053306378807</v>
      </c>
      <c r="N29" s="73">
        <v>2.312337070862416</v>
      </c>
      <c r="O29" s="73">
        <v>-0.7289452131354788</v>
      </c>
      <c r="P29" s="73">
        <v>-2.471124272529273</v>
      </c>
      <c r="Q29" s="75">
        <v>2415.4564121455996</v>
      </c>
      <c r="R29" s="75">
        <v>-2581.324775052492</v>
      </c>
      <c r="S29" s="73">
        <v>2.3098644575788665</v>
      </c>
      <c r="T29" s="73">
        <v>0.4440072790679377</v>
      </c>
      <c r="U29" s="73">
        <v>30.308196913587746</v>
      </c>
      <c r="V29" s="76">
        <f>IF(ISERR(Q29*($V$2/30)^2),"",(Q29*($V$2/30)^2))</f>
        <v>1677.4002862122222</v>
      </c>
      <c r="W29" s="73">
        <f>IF(ISERR(((V29/453.59)*$V$2/375)*746),"",(((V29/453.59)*$V$2/375)*746))</f>
        <v>183.9165492352591</v>
      </c>
      <c r="X29" s="73">
        <v>-28.809778329566576</v>
      </c>
      <c r="Y29" s="73">
        <v>67.55147167043343</v>
      </c>
      <c r="Z29" s="77"/>
      <c r="AA29" s="78"/>
      <c r="AB29" s="78"/>
      <c r="AC29" s="79">
        <f t="shared" si="0"/>
        <v>0.21418107382029455</v>
      </c>
      <c r="AR29" s="81"/>
      <c r="AS29" s="81"/>
      <c r="AT29" s="81"/>
      <c r="AU29" s="81"/>
      <c r="AV29" s="81"/>
      <c r="AW29" s="81"/>
      <c r="AX29" s="81"/>
    </row>
    <row r="30" spans="1:50" s="80" customFormat="1" ht="12.75">
      <c r="A30" s="56">
        <v>0</v>
      </c>
      <c r="B30" s="82" t="s">
        <v>39</v>
      </c>
      <c r="C30" s="83">
        <v>-7.49801556</v>
      </c>
      <c r="D30" s="84"/>
      <c r="E30" s="85">
        <v>2</v>
      </c>
      <c r="F30" s="73">
        <v>0.7988879418933822</v>
      </c>
      <c r="G30" s="73">
        <v>2.7082301230185655</v>
      </c>
      <c r="H30" s="73">
        <v>-0.6343617148716203</v>
      </c>
      <c r="I30" s="73">
        <v>-2.150486213414793</v>
      </c>
      <c r="J30" s="74">
        <v>2746.378410586239</v>
      </c>
      <c r="K30" s="74">
        <v>-2249.111382007613</v>
      </c>
      <c r="L30" s="74">
        <v>-2.115473864373717</v>
      </c>
      <c r="M30" s="73">
        <v>0.7092779199989714</v>
      </c>
      <c r="N30" s="73">
        <v>2.404452148796513</v>
      </c>
      <c r="O30" s="73">
        <v>-0.7331858981182326</v>
      </c>
      <c r="P30" s="73">
        <v>-2.4855001946208093</v>
      </c>
      <c r="Q30" s="75">
        <v>2511.6793886549126</v>
      </c>
      <c r="R30" s="75">
        <v>-2596.341795552689</v>
      </c>
      <c r="S30" s="73">
        <v>2.3079113711824624</v>
      </c>
      <c r="T30" s="73">
        <v>0.4436318524606289</v>
      </c>
      <c r="U30" s="73">
        <v>30.295380783825614</v>
      </c>
      <c r="V30" s="76">
        <f>IF(ISERR(Q30*($V$2/30)^2),"",(Q30*($V$2/30)^2))</f>
        <v>1744.2217976770228</v>
      </c>
      <c r="W30" s="73">
        <f>IF(ISERR(((V30/453.59)*$V$2/375)*746),"",(((V30/453.59)*$V$2/375)*746))</f>
        <v>191.24311398209238</v>
      </c>
      <c r="X30" s="73">
        <v>-28.84938538668839</v>
      </c>
      <c r="Y30" s="73">
        <v>67.51186461331162</v>
      </c>
      <c r="Z30" s="86"/>
      <c r="AA30" s="87"/>
      <c r="AB30" s="87"/>
      <c r="AC30" s="88">
        <f t="shared" si="0"/>
        <v>0.22271326687967702</v>
      </c>
      <c r="AR30" s="81"/>
      <c r="AS30" s="81"/>
      <c r="AT30" s="81"/>
      <c r="AU30" s="81"/>
      <c r="AV30" s="81"/>
      <c r="AW30" s="81"/>
      <c r="AX30" s="81"/>
    </row>
    <row r="31" spans="1:29" s="81" customFormat="1" ht="12.75">
      <c r="A31" s="56" t="s">
        <v>45</v>
      </c>
      <c r="B31" s="57" t="s">
        <v>39</v>
      </c>
      <c r="C31" s="58">
        <v>0</v>
      </c>
      <c r="D31" s="59">
        <v>10</v>
      </c>
      <c r="E31" s="60" t="s">
        <v>40</v>
      </c>
      <c r="F31" s="61">
        <v>0.7533745310344839</v>
      </c>
      <c r="G31" s="61">
        <v>2.5539396602069004</v>
      </c>
      <c r="H31" s="61">
        <v>-0.011600968671717567</v>
      </c>
      <c r="I31" s="61">
        <v>-0.03932728379712255</v>
      </c>
      <c r="J31" s="62">
        <v>2550.9624020281008</v>
      </c>
      <c r="K31" s="62">
        <v>-38.722343170332</v>
      </c>
      <c r="L31" s="62">
        <v>-1.912115224177806</v>
      </c>
      <c r="M31" s="61">
        <v>0.7533743390019934</v>
      </c>
      <c r="N31" s="61">
        <v>2.5539390092167573</v>
      </c>
      <c r="O31" s="61">
        <v>-0.011613432690656312</v>
      </c>
      <c r="P31" s="61">
        <v>-0.039369536821324894</v>
      </c>
      <c r="Q31" s="62">
        <v>2667.8326589041</v>
      </c>
      <c r="R31" s="62">
        <v>-41.125232716527975</v>
      </c>
      <c r="S31" s="63">
        <v>2.2777161104791896</v>
      </c>
      <c r="T31" s="63">
        <v>0.4378276523476664</v>
      </c>
      <c r="U31" s="64">
        <v>30.09650331343573</v>
      </c>
      <c r="V31" s="65">
        <f>IF(ISERR(AVERAGE(V32:V33)),"",AVERAGE(V32:V33))</f>
        <v>1852.661568683403</v>
      </c>
      <c r="W31" s="65">
        <f>IF(ISERR(AVERAGE(W32:W33)),"",AVERAGE(W32:W33))</f>
        <v>203.1328630463368</v>
      </c>
      <c r="X31" s="64">
        <v>-45.86007545930216</v>
      </c>
      <c r="Y31" s="64">
        <v>50.501174540697846</v>
      </c>
      <c r="Z31" s="66"/>
      <c r="AA31" s="67"/>
      <c r="AB31" s="67"/>
      <c r="AC31" s="61">
        <f t="shared" si="0"/>
        <v>0.23655954244662591</v>
      </c>
    </row>
    <row r="32" spans="1:50" s="80" customFormat="1" ht="12.75">
      <c r="A32" s="56">
        <v>0</v>
      </c>
      <c r="B32" s="69" t="s">
        <v>39</v>
      </c>
      <c r="C32" s="91">
        <v>-0.000947916</v>
      </c>
      <c r="D32" s="71"/>
      <c r="E32" s="72">
        <v>1</v>
      </c>
      <c r="F32" s="73">
        <v>0.7601197730102625</v>
      </c>
      <c r="G32" s="73">
        <v>2.5768060305047897</v>
      </c>
      <c r="H32" s="73">
        <v>-0.011301904865902285</v>
      </c>
      <c r="I32" s="73">
        <v>-0.03831345749540875</v>
      </c>
      <c r="J32" s="74">
        <v>2566.0512354970615</v>
      </c>
      <c r="K32" s="74">
        <v>-37.508099263821926</v>
      </c>
      <c r="L32" s="74">
        <v>-1.9429779747357019</v>
      </c>
      <c r="M32" s="73">
        <v>0.7601195859246366</v>
      </c>
      <c r="N32" s="73">
        <v>2.576805396284518</v>
      </c>
      <c r="O32" s="73">
        <v>-0.011314480479886802</v>
      </c>
      <c r="P32" s="73">
        <v>-0.03835608882681626</v>
      </c>
      <c r="Q32" s="75">
        <v>2691.7187791248107</v>
      </c>
      <c r="R32" s="75">
        <v>-40.066589715229306</v>
      </c>
      <c r="S32" s="73">
        <v>2.270095090957703</v>
      </c>
      <c r="T32" s="73">
        <v>0.4363627230396474</v>
      </c>
      <c r="U32" s="73">
        <v>30.046153166599836</v>
      </c>
      <c r="V32" s="76">
        <f>IF(ISERR(Q32*($V$2/30)^2),"",(Q32*($V$2/30)^2))</f>
        <v>1869.2491521700076</v>
      </c>
      <c r="W32" s="73">
        <f>IF(ISERR(((V32/453.59)*$V$2/375)*746),"",(((V32/453.59)*$V$2/375)*746))</f>
        <v>204.95158880910452</v>
      </c>
      <c r="X32" s="73">
        <v>-46.79187156760494</v>
      </c>
      <c r="Y32" s="73">
        <v>49.569378432395055</v>
      </c>
      <c r="Z32" s="77"/>
      <c r="AA32" s="78"/>
      <c r="AB32" s="78"/>
      <c r="AC32" s="79">
        <f t="shared" si="0"/>
        <v>0.23867754998033588</v>
      </c>
      <c r="AR32" s="81"/>
      <c r="AS32" s="81"/>
      <c r="AT32" s="81"/>
      <c r="AU32" s="81"/>
      <c r="AV32" s="81"/>
      <c r="AW32" s="81"/>
      <c r="AX32" s="81"/>
    </row>
    <row r="33" spans="1:50" s="80" customFormat="1" ht="12.75">
      <c r="A33" s="56">
        <v>0</v>
      </c>
      <c r="B33" s="82" t="s">
        <v>39</v>
      </c>
      <c r="C33" s="83">
        <v>-0.000947916</v>
      </c>
      <c r="D33" s="84"/>
      <c r="E33" s="85">
        <v>2</v>
      </c>
      <c r="F33" s="73">
        <v>0.7466292890587054</v>
      </c>
      <c r="G33" s="73">
        <v>2.5310732899090116</v>
      </c>
      <c r="H33" s="73">
        <v>-0.01190003247753285</v>
      </c>
      <c r="I33" s="73">
        <v>-0.04034111009883636</v>
      </c>
      <c r="J33" s="74">
        <v>2535.8735685591405</v>
      </c>
      <c r="K33" s="74">
        <v>-39.93658707684208</v>
      </c>
      <c r="L33" s="74">
        <v>-1.8812524736199099</v>
      </c>
      <c r="M33" s="73">
        <v>0.7466290920793501</v>
      </c>
      <c r="N33" s="73">
        <v>2.5310726221489968</v>
      </c>
      <c r="O33" s="73">
        <v>-0.011912384901425817</v>
      </c>
      <c r="P33" s="73">
        <v>-0.04038298481583352</v>
      </c>
      <c r="Q33" s="75">
        <v>2643.9465386833895</v>
      </c>
      <c r="R33" s="75">
        <v>-42.18387571782665</v>
      </c>
      <c r="S33" s="73">
        <v>2.285337130000676</v>
      </c>
      <c r="T33" s="73">
        <v>0.4392925816556856</v>
      </c>
      <c r="U33" s="73">
        <v>30.146853460271622</v>
      </c>
      <c r="V33" s="76">
        <f>IF(ISERR(Q33*($V$2/30)^2),"",(Q33*($V$2/30)^2))</f>
        <v>1836.0739851967985</v>
      </c>
      <c r="W33" s="73">
        <f>IF(ISERR(((V33/453.59)*$V$2/375)*746),"",(((V33/453.59)*$V$2/375)*746))</f>
        <v>201.31413728356912</v>
      </c>
      <c r="X33" s="73">
        <v>-44.928279350999375</v>
      </c>
      <c r="Y33" s="73">
        <v>51.43297064900063</v>
      </c>
      <c r="Z33" s="86"/>
      <c r="AA33" s="87"/>
      <c r="AB33" s="87"/>
      <c r="AC33" s="88">
        <f t="shared" si="0"/>
        <v>0.23444153491291594</v>
      </c>
      <c r="AR33" s="81"/>
      <c r="AS33" s="81"/>
      <c r="AT33" s="81"/>
      <c r="AU33" s="81"/>
      <c r="AV33" s="81"/>
      <c r="AW33" s="81"/>
      <c r="AX33" s="81"/>
    </row>
    <row r="34" spans="1:29" s="92" customFormat="1" ht="12.75">
      <c r="A34" s="56">
        <v>0</v>
      </c>
      <c r="B34" s="57" t="s">
        <v>39</v>
      </c>
      <c r="C34" s="58">
        <v>-7.5</v>
      </c>
      <c r="D34" s="59">
        <v>11</v>
      </c>
      <c r="E34" s="60" t="s">
        <v>40</v>
      </c>
      <c r="F34" s="61">
        <v>0.7819325139708586</v>
      </c>
      <c r="G34" s="61">
        <v>2.650751222361211</v>
      </c>
      <c r="H34" s="61">
        <v>-0.6153835681895383</v>
      </c>
      <c r="I34" s="61">
        <v>-2.086150296162535</v>
      </c>
      <c r="J34" s="62">
        <v>2677.875829362495</v>
      </c>
      <c r="K34" s="62">
        <v>-2175.5000749912633</v>
      </c>
      <c r="L34" s="62">
        <v>-1.8424452807010057</v>
      </c>
      <c r="M34" s="61">
        <v>0.6949557470265539</v>
      </c>
      <c r="N34" s="61">
        <v>2.355899982420018</v>
      </c>
      <c r="O34" s="61">
        <v>-0.7121459836839914</v>
      </c>
      <c r="P34" s="61">
        <v>-2.414174884688731</v>
      </c>
      <c r="Q34" s="62">
        <v>2460.96202435909</v>
      </c>
      <c r="R34" s="62">
        <v>-2521.83571276976</v>
      </c>
      <c r="S34" s="63">
        <v>2.300876238761332</v>
      </c>
      <c r="T34" s="63">
        <v>0.44227954367301164</v>
      </c>
      <c r="U34" s="64">
        <v>30.24911124137266</v>
      </c>
      <c r="V34" s="65">
        <f>IF(ISERR(AVERAGE(V35:V36)),"",AVERAGE(V35:V36))</f>
        <v>1709.0014058049237</v>
      </c>
      <c r="W34" s="65">
        <f>IF(ISERR(AVERAGE(W35:W36)),"",AVERAGE(W35:W36))</f>
        <v>187.38141621735826</v>
      </c>
      <c r="X34" s="64">
        <v>-28.840035696118353</v>
      </c>
      <c r="Y34" s="64">
        <v>67.52121430388165</v>
      </c>
      <c r="Z34" s="66"/>
      <c r="AA34" s="67"/>
      <c r="AB34" s="67"/>
      <c r="AC34" s="61">
        <f t="shared" si="0"/>
        <v>0.21821610456633794</v>
      </c>
    </row>
    <row r="35" spans="1:50" s="80" customFormat="1" ht="12.75">
      <c r="A35" s="56">
        <v>0</v>
      </c>
      <c r="B35" s="69" t="s">
        <v>39</v>
      </c>
      <c r="C35" s="91">
        <v>-7.497067644</v>
      </c>
      <c r="D35" s="71"/>
      <c r="E35" s="72">
        <v>1</v>
      </c>
      <c r="F35" s="73">
        <v>0.7920561224003194</v>
      </c>
      <c r="G35" s="73">
        <v>2.6850702549370826</v>
      </c>
      <c r="H35" s="73">
        <v>-0.6066993253275352</v>
      </c>
      <c r="I35" s="73">
        <v>-2.0567107128603443</v>
      </c>
      <c r="J35" s="74">
        <v>2703.0180312262632</v>
      </c>
      <c r="K35" s="74">
        <v>-2136.3711469608206</v>
      </c>
      <c r="L35" s="74">
        <v>-1.567874712587049</v>
      </c>
      <c r="M35" s="73">
        <v>0.7061258946982213</v>
      </c>
      <c r="N35" s="73">
        <v>2.39376678302697</v>
      </c>
      <c r="O35" s="73">
        <v>-0.7048568600938441</v>
      </c>
      <c r="P35" s="73">
        <v>-2.389464755718131</v>
      </c>
      <c r="Q35" s="75">
        <v>2500.517505904602</v>
      </c>
      <c r="R35" s="75">
        <v>-2496.0236284421408</v>
      </c>
      <c r="S35" s="73">
        <v>2.2917045790683708</v>
      </c>
      <c r="T35" s="73">
        <v>0.4405165468653647</v>
      </c>
      <c r="U35" s="73">
        <v>30.18882211070861</v>
      </c>
      <c r="V35" s="76">
        <f>IF(ISERR(Q35*($V$2/30)^2),"",(Q35*($V$2/30)^2))</f>
        <v>1736.4704902115293</v>
      </c>
      <c r="W35" s="73">
        <f>IF(ISERR(((V35/453.59)*$V$2/375)*746),"",(((V35/453.59)*$V$2/375)*746))</f>
        <v>190.3932311408689</v>
      </c>
      <c r="X35" s="73">
        <v>-28.877738556098826</v>
      </c>
      <c r="Y35" s="73">
        <v>67.48351144390118</v>
      </c>
      <c r="Z35" s="77"/>
      <c r="AA35" s="78"/>
      <c r="AB35" s="78"/>
      <c r="AC35" s="79">
        <f t="shared" si="0"/>
        <v>0.2217235309352415</v>
      </c>
      <c r="AR35" s="81"/>
      <c r="AS35" s="81"/>
      <c r="AT35" s="81"/>
      <c r="AU35" s="81"/>
      <c r="AV35" s="81"/>
      <c r="AW35" s="81"/>
      <c r="AX35" s="81"/>
    </row>
    <row r="36" spans="1:50" s="80" customFormat="1" ht="12.75">
      <c r="A36" s="56">
        <v>0</v>
      </c>
      <c r="B36" s="82" t="s">
        <v>39</v>
      </c>
      <c r="C36" s="83">
        <v>-7.497067644</v>
      </c>
      <c r="D36" s="84"/>
      <c r="E36" s="85">
        <v>2</v>
      </c>
      <c r="F36" s="73">
        <v>0.7718089055413981</v>
      </c>
      <c r="G36" s="73">
        <v>2.6164321897853395</v>
      </c>
      <c r="H36" s="73">
        <v>-0.6240678110515415</v>
      </c>
      <c r="I36" s="73">
        <v>-2.1155898794647254</v>
      </c>
      <c r="J36" s="74">
        <v>2652.733627498727</v>
      </c>
      <c r="K36" s="74">
        <v>-2214.6290030217065</v>
      </c>
      <c r="L36" s="74">
        <v>-2.117015848814962</v>
      </c>
      <c r="M36" s="73">
        <v>0.6837855993548867</v>
      </c>
      <c r="N36" s="73">
        <v>2.318033181813066</v>
      </c>
      <c r="O36" s="73">
        <v>-0.719435107274139</v>
      </c>
      <c r="P36" s="73">
        <v>-2.438885013659331</v>
      </c>
      <c r="Q36" s="75">
        <v>2421.4065428135777</v>
      </c>
      <c r="R36" s="75">
        <v>-2547.6477970973788</v>
      </c>
      <c r="S36" s="73">
        <v>2.310047898454293</v>
      </c>
      <c r="T36" s="73">
        <v>0.4440425404806586</v>
      </c>
      <c r="U36" s="73">
        <v>30.309400372036713</v>
      </c>
      <c r="V36" s="76">
        <f>IF(ISERR(Q36*($V$2/30)^2),"",(Q36*($V$2/30)^2))</f>
        <v>1681.5323213983181</v>
      </c>
      <c r="W36" s="73">
        <f>IF(ISERR(((V36/453.59)*$V$2/375)*746),"",(((V36/453.59)*$V$2/375)*746))</f>
        <v>184.36960129384767</v>
      </c>
      <c r="X36" s="73">
        <v>-28.80233283613788</v>
      </c>
      <c r="Y36" s="73">
        <v>67.55891716386212</v>
      </c>
      <c r="Z36" s="86"/>
      <c r="AA36" s="87"/>
      <c r="AB36" s="87"/>
      <c r="AC36" s="88">
        <f t="shared" si="0"/>
        <v>0.21470867819743442</v>
      </c>
      <c r="AR36" s="81"/>
      <c r="AS36" s="81"/>
      <c r="AT36" s="81"/>
      <c r="AU36" s="81"/>
      <c r="AV36" s="81"/>
      <c r="AW36" s="81"/>
      <c r="AX36" s="81"/>
    </row>
    <row r="37" spans="1:29" s="81" customFormat="1" ht="12.75">
      <c r="A37" s="56" t="s">
        <v>44</v>
      </c>
      <c r="B37" s="57" t="s">
        <v>39</v>
      </c>
      <c r="C37" s="58">
        <v>0</v>
      </c>
      <c r="D37" s="59">
        <v>12</v>
      </c>
      <c r="E37" s="60" t="s">
        <v>40</v>
      </c>
      <c r="F37" s="61">
        <v>0.7216273792729666</v>
      </c>
      <c r="G37" s="61">
        <v>2.446316815735357</v>
      </c>
      <c r="H37" s="61">
        <v>-0.02555532959681404</v>
      </c>
      <c r="I37" s="61">
        <v>-0.0866325673331996</v>
      </c>
      <c r="J37" s="62">
        <v>2445.073248445718</v>
      </c>
      <c r="K37" s="62">
        <v>-87.89224685386796</v>
      </c>
      <c r="L37" s="62">
        <v>-1.7983331131440479</v>
      </c>
      <c r="M37" s="61">
        <v>0.7216269563803122</v>
      </c>
      <c r="N37" s="61">
        <v>2.4463153821292583</v>
      </c>
      <c r="O37" s="61">
        <v>-0.025567268380861423</v>
      </c>
      <c r="P37" s="61">
        <v>-0.08667303981112025</v>
      </c>
      <c r="Q37" s="62">
        <v>2555.4095250009136</v>
      </c>
      <c r="R37" s="62">
        <v>-90.53824912033244</v>
      </c>
      <c r="S37" s="63">
        <v>2.282633084987717</v>
      </c>
      <c r="T37" s="63">
        <v>0.4387728041143055</v>
      </c>
      <c r="U37" s="64">
        <v>30.12900419321279</v>
      </c>
      <c r="V37" s="65">
        <f>IF(ISERR(AVERAGE(V38:V39)),"",AVERAGE(V38:V39))</f>
        <v>1774.5899479173013</v>
      </c>
      <c r="W37" s="65">
        <f>IF(ISERR(AVERAGE(W38:W39)),"",AVERAGE(W38:W39))</f>
        <v>194.57279351342356</v>
      </c>
      <c r="X37" s="64">
        <v>-34.054859571123046</v>
      </c>
      <c r="Y37" s="64">
        <v>62.30639042887695</v>
      </c>
      <c r="Z37" s="66"/>
      <c r="AA37" s="67"/>
      <c r="AB37" s="67"/>
      <c r="AC37" s="61">
        <f t="shared" si="0"/>
        <v>0.22659086430341802</v>
      </c>
    </row>
    <row r="38" spans="1:50" s="80" customFormat="1" ht="12.75">
      <c r="A38" s="56" t="s">
        <v>46</v>
      </c>
      <c r="B38" s="69" t="s">
        <v>39</v>
      </c>
      <c r="C38" s="91">
        <v>-0.000947916</v>
      </c>
      <c r="D38" s="71"/>
      <c r="E38" s="72">
        <v>1</v>
      </c>
      <c r="F38" s="73">
        <v>0.7133326348941333</v>
      </c>
      <c r="G38" s="73">
        <v>2.418197632291112</v>
      </c>
      <c r="H38" s="73">
        <v>-0.02425542589448673</v>
      </c>
      <c r="I38" s="73">
        <v>-0.08222589378231</v>
      </c>
      <c r="J38" s="74">
        <v>2419.7147688335376</v>
      </c>
      <c r="K38" s="74">
        <v>-83.41481932460799</v>
      </c>
      <c r="L38" s="74">
        <v>-1.850950865503295</v>
      </c>
      <c r="M38" s="73">
        <v>0.7133322335085526</v>
      </c>
      <c r="N38" s="73">
        <v>2.418196271593993</v>
      </c>
      <c r="O38" s="73">
        <v>-0.024267227448343923</v>
      </c>
      <c r="P38" s="73">
        <v>-0.0822659010498859</v>
      </c>
      <c r="Q38" s="75">
        <v>2526.0364345885782</v>
      </c>
      <c r="R38" s="75">
        <v>-85.93457272981875</v>
      </c>
      <c r="S38" s="73">
        <v>2.2861390660514513</v>
      </c>
      <c r="T38" s="73">
        <v>0.4394467315854456</v>
      </c>
      <c r="U38" s="73">
        <v>30.15214233599281</v>
      </c>
      <c r="V38" s="76">
        <f>IF(ISERR(Q38*($V$2/30)^2),"",(Q38*($V$2/30)^2))</f>
        <v>1754.1919684642908</v>
      </c>
      <c r="W38" s="73">
        <f>IF(ISERR(((V38/453.59)*$V$2/375)*746),"",(((V38/453.59)*$V$2/375)*746))</f>
        <v>192.3362814398261</v>
      </c>
      <c r="X38" s="73">
        <v>-34.74594943735709</v>
      </c>
      <c r="Y38" s="73">
        <v>61.61530056264291</v>
      </c>
      <c r="Z38" s="77"/>
      <c r="AA38" s="78"/>
      <c r="AB38" s="78"/>
      <c r="AC38" s="79">
        <f t="shared" si="0"/>
        <v>0.2239863213216855</v>
      </c>
      <c r="AR38" s="81"/>
      <c r="AS38" s="81"/>
      <c r="AT38" s="81"/>
      <c r="AU38" s="81"/>
      <c r="AV38" s="81"/>
      <c r="AW38" s="81"/>
      <c r="AX38" s="81"/>
    </row>
    <row r="39" spans="1:50" s="80" customFormat="1" ht="12.75">
      <c r="A39" s="56">
        <v>0</v>
      </c>
      <c r="B39" s="82" t="s">
        <v>39</v>
      </c>
      <c r="C39" s="83">
        <v>-0.000947916</v>
      </c>
      <c r="D39" s="84"/>
      <c r="E39" s="85">
        <v>2</v>
      </c>
      <c r="F39" s="73">
        <v>0.7299221236518001</v>
      </c>
      <c r="G39" s="73">
        <v>2.474435999179602</v>
      </c>
      <c r="H39" s="73">
        <v>-0.02685523329914136</v>
      </c>
      <c r="I39" s="73">
        <v>-0.0910392408840892</v>
      </c>
      <c r="J39" s="74">
        <v>2470.4317280578985</v>
      </c>
      <c r="K39" s="74">
        <v>-92.36967438312793</v>
      </c>
      <c r="L39" s="74">
        <v>-1.7457153607848006</v>
      </c>
      <c r="M39" s="73">
        <v>0.7299216792520717</v>
      </c>
      <c r="N39" s="73">
        <v>2.474434492664523</v>
      </c>
      <c r="O39" s="73">
        <v>-0.02686730931337892</v>
      </c>
      <c r="P39" s="73">
        <v>-0.09108017857235455</v>
      </c>
      <c r="Q39" s="75">
        <v>2584.782615413249</v>
      </c>
      <c r="R39" s="75">
        <v>-95.14192551084612</v>
      </c>
      <c r="S39" s="73">
        <v>2.279127103923982</v>
      </c>
      <c r="T39" s="73">
        <v>0.4380988766431654</v>
      </c>
      <c r="U39" s="73">
        <v>30.10586605043277</v>
      </c>
      <c r="V39" s="76">
        <f>IF(ISERR(Q39*($V$2/30)^2),"",(Q39*($V$2/30)^2))</f>
        <v>1794.987927370312</v>
      </c>
      <c r="W39" s="73">
        <f>IF(ISERR(((V39/453.59)*$V$2/375)*746),"",(((V39/453.59)*$V$2/375)*746))</f>
        <v>196.809305587021</v>
      </c>
      <c r="X39" s="73">
        <v>-33.36376970488901</v>
      </c>
      <c r="Y39" s="73">
        <v>62.997480295111</v>
      </c>
      <c r="Z39" s="86"/>
      <c r="AA39" s="87"/>
      <c r="AB39" s="87"/>
      <c r="AC39" s="88">
        <f t="shared" si="0"/>
        <v>0.22919540728515053</v>
      </c>
      <c r="AR39" s="81"/>
      <c r="AS39" s="81"/>
      <c r="AT39" s="81"/>
      <c r="AU39" s="81"/>
      <c r="AV39" s="81"/>
      <c r="AW39" s="81"/>
      <c r="AX39" s="81"/>
    </row>
    <row r="40" spans="1:29" s="81" customFormat="1" ht="12.75">
      <c r="A40" s="56">
        <v>0</v>
      </c>
      <c r="B40" s="57" t="s">
        <v>39</v>
      </c>
      <c r="C40" s="58">
        <v>-7.5</v>
      </c>
      <c r="D40" s="59">
        <v>13</v>
      </c>
      <c r="E40" s="60" t="s">
        <v>40</v>
      </c>
      <c r="F40" s="61">
        <v>0.7931679233191122</v>
      </c>
      <c r="G40" s="61">
        <v>2.6888392600517905</v>
      </c>
      <c r="H40" s="61">
        <v>-0.652311686638144</v>
      </c>
      <c r="I40" s="61">
        <v>-2.211336617703308</v>
      </c>
      <c r="J40" s="62">
        <v>2720.034313727472</v>
      </c>
      <c r="K40" s="62">
        <v>-2308.3098707486815</v>
      </c>
      <c r="L40" s="62">
        <v>-1.4544420446158317</v>
      </c>
      <c r="M40" s="61">
        <v>0.7012644860360657</v>
      </c>
      <c r="N40" s="61">
        <v>2.377286607662263</v>
      </c>
      <c r="O40" s="61">
        <v>-0.7502359706996365</v>
      </c>
      <c r="P40" s="61">
        <v>-2.5432999406717673</v>
      </c>
      <c r="Q40" s="62">
        <v>2483.3023923471656</v>
      </c>
      <c r="R40" s="62">
        <v>-2656.7191380164777</v>
      </c>
      <c r="S40" s="63">
        <v>2.3028664225264297</v>
      </c>
      <c r="T40" s="63">
        <v>0.4426621012189692</v>
      </c>
      <c r="U40" s="64">
        <v>30.262156021419983</v>
      </c>
      <c r="V40" s="65">
        <f>IF(ISERR(AVERAGE(V41:V42)),"",AVERAGE(V41:V42))</f>
        <v>1724.515550241087</v>
      </c>
      <c r="W40" s="65">
        <f>IF(ISERR(AVERAGE(W41:W42)),"",AVERAGE(W41:W42))</f>
        <v>189.082446038618</v>
      </c>
      <c r="X40" s="64">
        <v>-28.630439992403584</v>
      </c>
      <c r="Y40" s="64">
        <v>67.73081000759642</v>
      </c>
      <c r="Z40" s="66"/>
      <c r="AA40" s="67"/>
      <c r="AB40" s="67"/>
      <c r="AC40" s="61">
        <f t="shared" si="0"/>
        <v>0.22019704861532463</v>
      </c>
    </row>
    <row r="41" spans="1:50" s="80" customFormat="1" ht="12.75">
      <c r="A41" s="56">
        <v>0</v>
      </c>
      <c r="B41" s="69" t="s">
        <v>39</v>
      </c>
      <c r="C41" s="91">
        <v>-7.49801556</v>
      </c>
      <c r="D41" s="71"/>
      <c r="E41" s="72">
        <v>1</v>
      </c>
      <c r="F41" s="73">
        <v>0.7980105262526519</v>
      </c>
      <c r="G41" s="73">
        <v>2.70525568399649</v>
      </c>
      <c r="H41" s="73">
        <v>-0.6581365679317409</v>
      </c>
      <c r="I41" s="73">
        <v>-2.2310829652886017</v>
      </c>
      <c r="J41" s="74">
        <v>2723.568551684809</v>
      </c>
      <c r="K41" s="74">
        <v>-2317.405592567304</v>
      </c>
      <c r="L41" s="74">
        <v>-1.4244857527491408</v>
      </c>
      <c r="M41" s="73">
        <v>0.7053055821635882</v>
      </c>
      <c r="N41" s="73">
        <v>2.3909859235345636</v>
      </c>
      <c r="O41" s="73">
        <v>-0.756642965888065</v>
      </c>
      <c r="P41" s="73">
        <v>-2.5650196543605404</v>
      </c>
      <c r="Q41" s="75">
        <v>2497.612633177848</v>
      </c>
      <c r="R41" s="75">
        <v>-2679.4074486268105</v>
      </c>
      <c r="S41" s="73">
        <v>2.2913410380944947</v>
      </c>
      <c r="T41" s="73">
        <v>0.4404466662114974</v>
      </c>
      <c r="U41" s="73">
        <v>30.18642753743539</v>
      </c>
      <c r="V41" s="76">
        <f>IF(ISERR(Q41*($V$2/30)^2),"",(Q41*($V$2/30)^2))</f>
        <v>1734.4532174846167</v>
      </c>
      <c r="W41" s="73">
        <f>IF(ISERR(((V41/453.59)*$V$2/375)*746),"",(((V41/453.59)*$V$2/375)*746))</f>
        <v>190.17204968415294</v>
      </c>
      <c r="X41" s="73">
        <v>-28.61648430369342</v>
      </c>
      <c r="Y41" s="73">
        <v>67.74476569630659</v>
      </c>
      <c r="Z41" s="77"/>
      <c r="AA41" s="78"/>
      <c r="AB41" s="78"/>
      <c r="AC41" s="79">
        <f t="shared" si="0"/>
        <v>0.22146595279936668</v>
      </c>
      <c r="AR41" s="81"/>
      <c r="AS41" s="81"/>
      <c r="AT41" s="81"/>
      <c r="AU41" s="81"/>
      <c r="AV41" s="81"/>
      <c r="AW41" s="81"/>
      <c r="AX41" s="81"/>
    </row>
    <row r="42" spans="1:50" s="80" customFormat="1" ht="12.75">
      <c r="A42" s="56">
        <v>0</v>
      </c>
      <c r="B42" s="82" t="s">
        <v>39</v>
      </c>
      <c r="C42" s="83">
        <v>-7.49801556</v>
      </c>
      <c r="D42" s="84"/>
      <c r="E42" s="85">
        <v>2</v>
      </c>
      <c r="F42" s="73">
        <v>0.7883253203855729</v>
      </c>
      <c r="G42" s="73">
        <v>2.6724228361070916</v>
      </c>
      <c r="H42" s="73">
        <v>-0.6464868053445468</v>
      </c>
      <c r="I42" s="73">
        <v>-2.191590270118014</v>
      </c>
      <c r="J42" s="74">
        <v>2716.500075770135</v>
      </c>
      <c r="K42" s="74">
        <v>-2299.2141489300584</v>
      </c>
      <c r="L42" s="74">
        <v>-1.4843983364825228</v>
      </c>
      <c r="M42" s="73">
        <v>0.6972233899085435</v>
      </c>
      <c r="N42" s="73">
        <v>2.3635872917899623</v>
      </c>
      <c r="O42" s="73">
        <v>-0.7438289755112079</v>
      </c>
      <c r="P42" s="73">
        <v>-2.5215802269829948</v>
      </c>
      <c r="Q42" s="75">
        <v>2468.992151516483</v>
      </c>
      <c r="R42" s="75">
        <v>-2634.0308274061454</v>
      </c>
      <c r="S42" s="73">
        <v>2.314391806958364</v>
      </c>
      <c r="T42" s="73">
        <v>0.44487753622644105</v>
      </c>
      <c r="U42" s="73">
        <v>30.337884505404578</v>
      </c>
      <c r="V42" s="76">
        <f>IF(ISERR(Q42*($V$2/30)^2),"",(Q42*($V$2/30)^2))</f>
        <v>1714.5778829975577</v>
      </c>
      <c r="W42" s="73">
        <f>IF(ISERR(((V42/453.59)*$V$2/375)*746),"",(((V42/453.59)*$V$2/375)*746))</f>
        <v>187.99284239308304</v>
      </c>
      <c r="X42" s="73">
        <v>-28.64439568111375</v>
      </c>
      <c r="Y42" s="73">
        <v>67.71685431888625</v>
      </c>
      <c r="Z42" s="86"/>
      <c r="AA42" s="87"/>
      <c r="AB42" s="87"/>
      <c r="AC42" s="88">
        <f t="shared" si="0"/>
        <v>0.21892814443128267</v>
      </c>
      <c r="AR42" s="81"/>
      <c r="AS42" s="81"/>
      <c r="AT42" s="81"/>
      <c r="AU42" s="81"/>
      <c r="AV42" s="81"/>
      <c r="AW42" s="81"/>
      <c r="AX42" s="81"/>
    </row>
    <row r="43" spans="1:29" s="81" customFormat="1" ht="12.75">
      <c r="A43" s="56" t="s">
        <v>47</v>
      </c>
      <c r="B43" s="57" t="s">
        <v>39</v>
      </c>
      <c r="C43" s="58">
        <v>0</v>
      </c>
      <c r="D43" s="59">
        <v>14</v>
      </c>
      <c r="E43" s="60" t="s">
        <v>40</v>
      </c>
      <c r="F43" s="61">
        <v>0.7127254723291498</v>
      </c>
      <c r="G43" s="61">
        <v>2.4161393511958185</v>
      </c>
      <c r="H43" s="61">
        <v>-0.03869952552473913</v>
      </c>
      <c r="I43" s="61">
        <v>-0.13119139152886566</v>
      </c>
      <c r="J43" s="62">
        <v>2418.7121051861004</v>
      </c>
      <c r="K43" s="62">
        <v>-134.1721432738118</v>
      </c>
      <c r="L43" s="62">
        <v>-1.967150199336503</v>
      </c>
      <c r="M43" s="61">
        <v>0.7127248319767814</v>
      </c>
      <c r="N43" s="61">
        <v>2.4161371804012886</v>
      </c>
      <c r="O43" s="61">
        <v>-0.03871131703156712</v>
      </c>
      <c r="P43" s="61">
        <v>-0.13123136473701258</v>
      </c>
      <c r="Q43" s="62">
        <v>2523.885517627862</v>
      </c>
      <c r="R43" s="62">
        <v>-137.08366544952366</v>
      </c>
      <c r="S43" s="63">
        <v>2.28722060659387</v>
      </c>
      <c r="T43" s="63">
        <v>0.4396546277119328</v>
      </c>
      <c r="U43" s="64">
        <v>30.15916433680568</v>
      </c>
      <c r="V43" s="65">
        <f>IF(ISERR(AVERAGE(V44:V45)),"",AVERAGE(V44:V45))</f>
        <v>1752.6982761304598</v>
      </c>
      <c r="W43" s="65">
        <f>IF(ISERR(AVERAGE(W44:W45)),"",AVERAGE(W44:W45))</f>
        <v>192.17250732942722</v>
      </c>
      <c r="X43" s="64">
        <v>-31.61062951555401</v>
      </c>
      <c r="Y43" s="64">
        <v>64.75062048444599</v>
      </c>
      <c r="Z43" s="66"/>
      <c r="AA43" s="67"/>
      <c r="AB43" s="67"/>
      <c r="AC43" s="61">
        <f t="shared" si="0"/>
        <v>0.22379559724070935</v>
      </c>
    </row>
    <row r="44" spans="1:50" s="80" customFormat="1" ht="12.75">
      <c r="A44" s="56">
        <v>0</v>
      </c>
      <c r="B44" s="69" t="s">
        <v>39</v>
      </c>
      <c r="C44" s="91">
        <v>-0.000947916</v>
      </c>
      <c r="D44" s="71"/>
      <c r="E44" s="72">
        <v>1</v>
      </c>
      <c r="F44" s="73">
        <v>0.7133593840117608</v>
      </c>
      <c r="G44" s="73">
        <v>2.418288311799869</v>
      </c>
      <c r="H44" s="73">
        <v>-0.036935795056526784</v>
      </c>
      <c r="I44" s="73">
        <v>-0.1252123452416258</v>
      </c>
      <c r="J44" s="74">
        <v>2407.909983221523</v>
      </c>
      <c r="K44" s="74">
        <v>-127.07972585517348</v>
      </c>
      <c r="L44" s="74">
        <v>-2.1232337042701124</v>
      </c>
      <c r="M44" s="73">
        <v>0.7133587728389125</v>
      </c>
      <c r="N44" s="73">
        <v>2.418286239923913</v>
      </c>
      <c r="O44" s="73">
        <v>-0.03694759705119282</v>
      </c>
      <c r="P44" s="73">
        <v>-0.12525235400354368</v>
      </c>
      <c r="Q44" s="75">
        <v>2526.130415082224</v>
      </c>
      <c r="R44" s="75">
        <v>-130.83801900098993</v>
      </c>
      <c r="S44" s="73">
        <v>2.274897536730153</v>
      </c>
      <c r="T44" s="73">
        <v>0.43728585983812956</v>
      </c>
      <c r="U44" s="73">
        <v>30.07791808857773</v>
      </c>
      <c r="V44" s="76">
        <f>IF(ISERR(Q44*($V$2/30)^2),"",(Q44*($V$2/30)^2))</f>
        <v>1754.257232695989</v>
      </c>
      <c r="W44" s="73">
        <f>IF(ISERR(((V44/453.59)*$V$2/375)*746),"",(((V44/453.59)*$V$2/375)*746))</f>
        <v>192.34343725849453</v>
      </c>
      <c r="X44" s="73">
        <v>-32.43648554215638</v>
      </c>
      <c r="Y44" s="73">
        <v>63.924764457843615</v>
      </c>
      <c r="Z44" s="77"/>
      <c r="AA44" s="78"/>
      <c r="AB44" s="78"/>
      <c r="AC44" s="79">
        <f t="shared" si="0"/>
        <v>0.22399465467141852</v>
      </c>
      <c r="AR44" s="81"/>
      <c r="AS44" s="81"/>
      <c r="AT44" s="81"/>
      <c r="AU44" s="81"/>
      <c r="AV44" s="81"/>
      <c r="AW44" s="81"/>
      <c r="AX44" s="81"/>
    </row>
    <row r="45" spans="1:50" s="80" customFormat="1" ht="12.75">
      <c r="A45" s="56">
        <v>0</v>
      </c>
      <c r="B45" s="82" t="s">
        <v>39</v>
      </c>
      <c r="C45" s="83">
        <v>-0.000947916</v>
      </c>
      <c r="D45" s="84"/>
      <c r="E45" s="85">
        <v>2</v>
      </c>
      <c r="F45" s="73">
        <v>0.712091560646539</v>
      </c>
      <c r="G45" s="73">
        <v>2.4139903905917675</v>
      </c>
      <c r="H45" s="73">
        <v>-0.04046325599295148</v>
      </c>
      <c r="I45" s="73">
        <v>-0.13717043781610552</v>
      </c>
      <c r="J45" s="74">
        <v>2429.514227150678</v>
      </c>
      <c r="K45" s="74">
        <v>-141.26456069245015</v>
      </c>
      <c r="L45" s="74">
        <v>-1.8110666944028935</v>
      </c>
      <c r="M45" s="73">
        <v>0.7120908911146502</v>
      </c>
      <c r="N45" s="73">
        <v>2.413988120878664</v>
      </c>
      <c r="O45" s="73">
        <v>-0.040475037011941425</v>
      </c>
      <c r="P45" s="73">
        <v>-0.13721037547048145</v>
      </c>
      <c r="Q45" s="75">
        <v>2521.6406201735003</v>
      </c>
      <c r="R45" s="75">
        <v>-143.32931189805743</v>
      </c>
      <c r="S45" s="73">
        <v>2.2995436764575863</v>
      </c>
      <c r="T45" s="73">
        <v>0.44202339558573606</v>
      </c>
      <c r="U45" s="73">
        <v>30.240410585033636</v>
      </c>
      <c r="V45" s="76">
        <f>IF(ISERR(Q45*($V$2/30)^2),"",(Q45*($V$2/30)^2))</f>
        <v>1751.139319564931</v>
      </c>
      <c r="W45" s="73">
        <f>IF(ISERR(((V45/453.59)*$V$2/375)*746),"",(((V45/453.59)*$V$2/375)*746))</f>
        <v>192.00157740035988</v>
      </c>
      <c r="X45" s="73">
        <v>-30.784773488951636</v>
      </c>
      <c r="Y45" s="73">
        <v>65.57647651104837</v>
      </c>
      <c r="Z45" s="86"/>
      <c r="AA45" s="87"/>
      <c r="AB45" s="87"/>
      <c r="AC45" s="88">
        <f t="shared" si="0"/>
        <v>0.22359653981000016</v>
      </c>
      <c r="AR45" s="81"/>
      <c r="AS45" s="81"/>
      <c r="AT45" s="81"/>
      <c r="AU45" s="81"/>
      <c r="AV45" s="81"/>
      <c r="AW45" s="81"/>
      <c r="AX45" s="81"/>
    </row>
    <row r="46" spans="1:29" s="81" customFormat="1" ht="12.75">
      <c r="A46" s="56">
        <v>0</v>
      </c>
      <c r="B46" s="57" t="s">
        <v>39</v>
      </c>
      <c r="C46" s="58">
        <v>-7.5</v>
      </c>
      <c r="D46" s="59">
        <v>15</v>
      </c>
      <c r="E46" s="60" t="s">
        <v>40</v>
      </c>
      <c r="F46" s="61">
        <v>0.8029355413618401</v>
      </c>
      <c r="G46" s="61">
        <v>2.7219514852166373</v>
      </c>
      <c r="H46" s="61">
        <v>-0.6569334733979475</v>
      </c>
      <c r="I46" s="61">
        <v>-2.2270044748190423</v>
      </c>
      <c r="J46" s="62">
        <v>2729.1403828998295</v>
      </c>
      <c r="K46" s="62">
        <v>-2303.1401759562086</v>
      </c>
      <c r="L46" s="62">
        <v>-1.4588963551145804</v>
      </c>
      <c r="M46" s="61">
        <v>0.7103329702932969</v>
      </c>
      <c r="N46" s="61">
        <v>2.408028769294276</v>
      </c>
      <c r="O46" s="61">
        <v>-0.7561045849398251</v>
      </c>
      <c r="P46" s="61">
        <v>-2.5631945429460075</v>
      </c>
      <c r="Q46" s="62">
        <v>2515.415509579493</v>
      </c>
      <c r="R46" s="62">
        <v>-2677.500945840229</v>
      </c>
      <c r="S46" s="63">
        <v>2.2815340808046103</v>
      </c>
      <c r="T46" s="63">
        <v>0.4385615510879973</v>
      </c>
      <c r="U46" s="64">
        <v>30.12171323577023</v>
      </c>
      <c r="V46" s="65">
        <f>IF(ISERR(AVERAGE(V47:V48)),"",AVERAGE(V47:V48))</f>
        <v>1746.8163260968704</v>
      </c>
      <c r="W46" s="65">
        <f>IF(ISERR(AVERAGE(W47:W48)),"",AVERAGE(W47:W48))</f>
        <v>191.52758794921488</v>
      </c>
      <c r="X46" s="64">
        <v>-28.647048270651723</v>
      </c>
      <c r="Y46" s="64">
        <v>67.71420172934828</v>
      </c>
      <c r="Z46" s="66"/>
      <c r="AA46" s="67"/>
      <c r="AB46" s="67"/>
      <c r="AC46" s="61">
        <f t="shared" si="0"/>
        <v>0.22304455267209522</v>
      </c>
    </row>
    <row r="47" spans="1:50" s="80" customFormat="1" ht="12.75">
      <c r="A47" s="56">
        <v>0</v>
      </c>
      <c r="B47" s="69" t="s">
        <v>39</v>
      </c>
      <c r="C47" s="91">
        <v>-7.498963476</v>
      </c>
      <c r="D47" s="71"/>
      <c r="E47" s="72">
        <v>1</v>
      </c>
      <c r="F47" s="73">
        <v>0.8069693214449783</v>
      </c>
      <c r="G47" s="73">
        <v>2.735625999698476</v>
      </c>
      <c r="H47" s="73">
        <v>-0.6639206623184081</v>
      </c>
      <c r="I47" s="73">
        <v>-2.250691045259403</v>
      </c>
      <c r="J47" s="74">
        <v>2733.7566151846763</v>
      </c>
      <c r="K47" s="74">
        <v>-2319.683926265431</v>
      </c>
      <c r="L47" s="74">
        <v>-1.3758043348168825</v>
      </c>
      <c r="M47" s="73">
        <v>0.7134203645111913</v>
      </c>
      <c r="N47" s="73">
        <v>2.4184950356929384</v>
      </c>
      <c r="O47" s="73">
        <v>-0.7635584555928911</v>
      </c>
      <c r="P47" s="73">
        <v>-2.588463164459901</v>
      </c>
      <c r="Q47" s="75">
        <v>2526.348522159032</v>
      </c>
      <c r="R47" s="75">
        <v>-2703.896428847839</v>
      </c>
      <c r="S47" s="73">
        <v>2.2735628402115733</v>
      </c>
      <c r="T47" s="73">
        <v>0.43702930150733577</v>
      </c>
      <c r="U47" s="73">
        <v>30.06909334329731</v>
      </c>
      <c r="V47" s="76">
        <f>IF(ISERR(Q47*($V$2/30)^2),"",(Q47*($V$2/30)^2))</f>
        <v>1754.4086959437725</v>
      </c>
      <c r="W47" s="73">
        <f>IF(ISERR(((V47/453.59)*$V$2/375)*746),"",(((V47/453.59)*$V$2/375)*746))</f>
        <v>192.3600442652402</v>
      </c>
      <c r="X47" s="73">
        <v>-28.61550204096367</v>
      </c>
      <c r="Y47" s="73">
        <v>67.74574795903634</v>
      </c>
      <c r="Z47" s="77"/>
      <c r="AA47" s="78"/>
      <c r="AB47" s="78"/>
      <c r="AC47" s="79">
        <f t="shared" si="0"/>
        <v>0.22401399445651407</v>
      </c>
      <c r="AR47" s="81"/>
      <c r="AS47" s="81"/>
      <c r="AT47" s="81"/>
      <c r="AU47" s="81"/>
      <c r="AV47" s="81"/>
      <c r="AW47" s="81"/>
      <c r="AX47" s="81"/>
    </row>
    <row r="48" spans="1:50" s="80" customFormat="1" ht="12.75">
      <c r="A48" s="56">
        <v>0</v>
      </c>
      <c r="B48" s="82" t="s">
        <v>39</v>
      </c>
      <c r="C48" s="83">
        <v>-7.498963476</v>
      </c>
      <c r="D48" s="84"/>
      <c r="E48" s="85">
        <v>2</v>
      </c>
      <c r="F48" s="73">
        <v>0.7989017612787016</v>
      </c>
      <c r="G48" s="73">
        <v>2.7082769707347985</v>
      </c>
      <c r="H48" s="73">
        <v>-0.6499462844774873</v>
      </c>
      <c r="I48" s="73">
        <v>-2.2033179043786815</v>
      </c>
      <c r="J48" s="74">
        <v>2724.524150614983</v>
      </c>
      <c r="K48" s="74">
        <v>-2286.5964256469865</v>
      </c>
      <c r="L48" s="74">
        <v>-1.5419883754122783</v>
      </c>
      <c r="M48" s="73">
        <v>0.7072455760754025</v>
      </c>
      <c r="N48" s="73">
        <v>2.3975625028956142</v>
      </c>
      <c r="O48" s="73">
        <v>-0.7486507142867591</v>
      </c>
      <c r="P48" s="73">
        <v>-2.5379259214321133</v>
      </c>
      <c r="Q48" s="75">
        <v>2504.4824969999545</v>
      </c>
      <c r="R48" s="75">
        <v>-2651.105462832619</v>
      </c>
      <c r="S48" s="73">
        <v>2.2895053213976473</v>
      </c>
      <c r="T48" s="73">
        <v>0.4400938006686589</v>
      </c>
      <c r="U48" s="73">
        <v>30.174333128243145</v>
      </c>
      <c r="V48" s="76">
        <f>IF(ISERR(Q48*($V$2/30)^2),"",(Q48*($V$2/30)^2))</f>
        <v>1739.2239562499685</v>
      </c>
      <c r="W48" s="73">
        <f>IF(ISERR(((V48/453.59)*$V$2/375)*746),"",(((V48/453.59)*$V$2/375)*746))</f>
        <v>190.69513163318953</v>
      </c>
      <c r="X48" s="73">
        <v>-28.678594500339774</v>
      </c>
      <c r="Y48" s="73">
        <v>67.68265549966023</v>
      </c>
      <c r="Z48" s="86"/>
      <c r="AA48" s="87"/>
      <c r="AB48" s="87"/>
      <c r="AC48" s="88">
        <f t="shared" si="0"/>
        <v>0.2220751108876764</v>
      </c>
      <c r="AR48" s="81"/>
      <c r="AS48" s="81"/>
      <c r="AT48" s="81"/>
      <c r="AU48" s="81"/>
      <c r="AV48" s="81"/>
      <c r="AW48" s="81"/>
      <c r="AX48" s="81"/>
    </row>
    <row r="49" spans="1:29" s="81" customFormat="1" ht="12.75">
      <c r="A49" s="56" t="s">
        <v>48</v>
      </c>
      <c r="B49" s="57" t="s">
        <v>39</v>
      </c>
      <c r="C49" s="58">
        <v>0</v>
      </c>
      <c r="D49" s="59">
        <v>16</v>
      </c>
      <c r="E49" s="60" t="s">
        <v>40</v>
      </c>
      <c r="F49" s="61">
        <v>0.7505899518643206</v>
      </c>
      <c r="G49" s="61">
        <v>2.544499936820047</v>
      </c>
      <c r="H49" s="61">
        <v>-0.005467669241261013</v>
      </c>
      <c r="I49" s="61">
        <v>-0.018535398727874835</v>
      </c>
      <c r="J49" s="62">
        <v>2543.748068387558</v>
      </c>
      <c r="K49" s="62">
        <v>-17.573386437308752</v>
      </c>
      <c r="L49" s="62">
        <v>-1.5801787897134867</v>
      </c>
      <c r="M49" s="61">
        <v>0.7505898613030823</v>
      </c>
      <c r="N49" s="61">
        <v>2.544499629817449</v>
      </c>
      <c r="O49" s="61">
        <v>-0.005480087192250631</v>
      </c>
      <c r="P49" s="61">
        <v>-0.018577495581729643</v>
      </c>
      <c r="Q49" s="62">
        <v>2657.9723276470177</v>
      </c>
      <c r="R49" s="62">
        <v>-19.405964376880146</v>
      </c>
      <c r="S49" s="63">
        <v>2.2799039548926756</v>
      </c>
      <c r="T49" s="63">
        <v>0.4382482046627032</v>
      </c>
      <c r="U49" s="64">
        <v>30.1109935741338</v>
      </c>
      <c r="V49" s="65">
        <f>IF(ISERR(AVERAGE(V50:V51)),"",AVERAGE(V50:V51))</f>
        <v>1845.8141164215403</v>
      </c>
      <c r="W49" s="65">
        <f>IF(ISERR(AVERAGE(W50:W51)),"",AVERAGE(W50:W51))</f>
        <v>202.38208232845656</v>
      </c>
      <c r="X49" s="64">
        <v>-209.33746042010756</v>
      </c>
      <c r="Y49" s="64">
        <v>-112.97621042010755</v>
      </c>
      <c r="Z49" s="66"/>
      <c r="AA49" s="67"/>
      <c r="AB49" s="67"/>
      <c r="AC49" s="61">
        <f t="shared" si="0"/>
        <v>0.23568521644916782</v>
      </c>
    </row>
    <row r="50" spans="1:50" s="80" customFormat="1" ht="12.75">
      <c r="A50" s="56">
        <v>0</v>
      </c>
      <c r="B50" s="69" t="s">
        <v>39</v>
      </c>
      <c r="C50" s="91">
        <v>-0.000947916</v>
      </c>
      <c r="D50" s="71"/>
      <c r="E50" s="72">
        <v>1</v>
      </c>
      <c r="F50" s="73">
        <v>0.7446609023958836</v>
      </c>
      <c r="G50" s="73">
        <v>2.5244004591220452</v>
      </c>
      <c r="H50" s="73">
        <v>-0.010231864402216873</v>
      </c>
      <c r="I50" s="73">
        <v>-0.0346860203235152</v>
      </c>
      <c r="J50" s="74">
        <v>2520.7292814685393</v>
      </c>
      <c r="K50" s="74">
        <v>-34.711084728746805</v>
      </c>
      <c r="L50" s="74">
        <v>-1.1276833866505296</v>
      </c>
      <c r="M50" s="73">
        <v>0.7446607330153959</v>
      </c>
      <c r="N50" s="73">
        <v>2.5243998849221922</v>
      </c>
      <c r="O50" s="73">
        <v>-0.010244184260846794</v>
      </c>
      <c r="P50" s="73">
        <v>-0.034727784644270634</v>
      </c>
      <c r="Q50" s="75">
        <v>2636.9762288076595</v>
      </c>
      <c r="R50" s="75">
        <v>-36.27648025697638</v>
      </c>
      <c r="S50" s="73">
        <v>2.277902481183253</v>
      </c>
      <c r="T50" s="73">
        <v>0.4378634769385586</v>
      </c>
      <c r="U50" s="73">
        <v>30.097776707369476</v>
      </c>
      <c r="V50" s="76">
        <f>IF(ISERR(Q50*($V$2/30)^2),"",(Q50*($V$2/30)^2))</f>
        <v>1831.2334922275415</v>
      </c>
      <c r="W50" s="73">
        <f>IF(ISERR(((V50/453.59)*$V$2/375)*746),"",(((V50/453.59)*$V$2/375)*746))</f>
        <v>200.7834072182288</v>
      </c>
      <c r="X50" s="73">
        <v>-39.020324705614684</v>
      </c>
      <c r="Y50" s="73">
        <v>57.340925294385315</v>
      </c>
      <c r="Z50" s="77"/>
      <c r="AA50" s="78"/>
      <c r="AB50" s="78"/>
      <c r="AC50" s="79">
        <f t="shared" si="0"/>
        <v>0.23382347016683433</v>
      </c>
      <c r="AR50" s="81"/>
      <c r="AS50" s="81"/>
      <c r="AT50" s="81"/>
      <c r="AU50" s="81"/>
      <c r="AV50" s="81"/>
      <c r="AW50" s="81"/>
      <c r="AX50" s="81"/>
    </row>
    <row r="51" spans="1:50" s="80" customFormat="1" ht="12.75">
      <c r="A51" s="56">
        <v>0</v>
      </c>
      <c r="B51" s="82" t="s">
        <v>39</v>
      </c>
      <c r="C51" s="83">
        <v>-0.000947916</v>
      </c>
      <c r="D51" s="84"/>
      <c r="E51" s="85">
        <v>2</v>
      </c>
      <c r="F51" s="73">
        <v>0.7565190013327576</v>
      </c>
      <c r="G51" s="73">
        <v>2.5645994145180486</v>
      </c>
      <c r="H51" s="73">
        <v>-0.0007034740803051547</v>
      </c>
      <c r="I51" s="73">
        <v>-0.002384777132234474</v>
      </c>
      <c r="J51" s="74">
        <v>2566.7668553065764</v>
      </c>
      <c r="K51" s="74">
        <v>-0.4356881458706984</v>
      </c>
      <c r="L51" s="74">
        <v>-2.032674192776444</v>
      </c>
      <c r="M51" s="73">
        <v>0.7565189895907687</v>
      </c>
      <c r="N51" s="73">
        <v>2.5645993747127056</v>
      </c>
      <c r="O51" s="73">
        <v>-0.0007159901236544688</v>
      </c>
      <c r="P51" s="73">
        <v>-0.0024272065191886494</v>
      </c>
      <c r="Q51" s="75">
        <v>2678.968426486376</v>
      </c>
      <c r="R51" s="75">
        <v>-2.5354484967839115</v>
      </c>
      <c r="S51" s="73">
        <v>2.2819054286020983</v>
      </c>
      <c r="T51" s="73">
        <v>0.438632932386848</v>
      </c>
      <c r="U51" s="73">
        <v>30.124210440898125</v>
      </c>
      <c r="V51" s="76">
        <f>IF(ISERR(Q51*($V$2/30)^2),"",(Q51*($V$2/30)^2))</f>
        <v>1860.394740615539</v>
      </c>
      <c r="W51" s="73">
        <f>IF(ISERR(((V51/453.59)*$V$2/375)*746),"",(((V51/453.59)*$V$2/375)*746))</f>
        <v>203.98075743868432</v>
      </c>
      <c r="X51" s="73">
        <v>-379.6545961346004</v>
      </c>
      <c r="Y51" s="73">
        <v>-283.2933461346004</v>
      </c>
      <c r="Z51" s="86"/>
      <c r="AA51" s="87"/>
      <c r="AB51" s="87"/>
      <c r="AC51" s="88">
        <f t="shared" si="0"/>
        <v>0.23754696273150136</v>
      </c>
      <c r="AR51" s="81"/>
      <c r="AS51" s="81"/>
      <c r="AT51" s="81"/>
      <c r="AU51" s="81"/>
      <c r="AV51" s="81"/>
      <c r="AW51" s="81"/>
      <c r="AX51" s="81"/>
    </row>
    <row r="52" spans="1:29" s="81" customFormat="1" ht="12.75">
      <c r="A52" s="56">
        <v>0</v>
      </c>
      <c r="B52" s="57" t="s">
        <v>39</v>
      </c>
      <c r="C52" s="58">
        <v>-7.5</v>
      </c>
      <c r="D52" s="59">
        <v>17</v>
      </c>
      <c r="E52" s="60" t="s">
        <v>40</v>
      </c>
      <c r="F52" s="61">
        <v>0.8178652589111812</v>
      </c>
      <c r="G52" s="61">
        <v>2.772563227708904</v>
      </c>
      <c r="H52" s="61">
        <v>-0.6303691017064159</v>
      </c>
      <c r="I52" s="61">
        <v>-2.1369512547847496</v>
      </c>
      <c r="J52" s="62">
        <v>2800.854018133104</v>
      </c>
      <c r="K52" s="62">
        <v>-2224.919176663727</v>
      </c>
      <c r="L52" s="62">
        <v>-1.8569425155165842</v>
      </c>
      <c r="M52" s="61">
        <v>0.7286139727118339</v>
      </c>
      <c r="N52" s="61">
        <v>2.470001367493117</v>
      </c>
      <c r="O52" s="61">
        <v>-0.7317038095357206</v>
      </c>
      <c r="P52" s="61">
        <v>-2.480475914326093</v>
      </c>
      <c r="Q52" s="62">
        <v>2580.151793741077</v>
      </c>
      <c r="R52" s="62">
        <v>-2591.0934560232954</v>
      </c>
      <c r="S52" s="63">
        <v>2.29738290721515</v>
      </c>
      <c r="T52" s="63">
        <v>0.44160804772024553</v>
      </c>
      <c r="U52" s="64">
        <v>30.226005499531666</v>
      </c>
      <c r="V52" s="65">
        <f>IF(ISERR(AVERAGE(V53:V54)),"",AVERAGE(V53:V54))</f>
        <v>1791.7720789868592</v>
      </c>
      <c r="W52" s="65">
        <f>IF(ISERR(AVERAGE(W53:W54)),"",AVERAGE(W53:W54))</f>
        <v>196.4567077352083</v>
      </c>
      <c r="X52" s="64">
        <v>-28.89744202100726</v>
      </c>
      <c r="Y52" s="64">
        <v>67.46380797899275</v>
      </c>
      <c r="Z52" s="66"/>
      <c r="AA52" s="67"/>
      <c r="AB52" s="67"/>
      <c r="AC52" s="61">
        <f t="shared" si="0"/>
        <v>0.22878478743151584</v>
      </c>
    </row>
    <row r="53" spans="1:50" s="80" customFormat="1" ht="12.75">
      <c r="A53" s="56">
        <v>0</v>
      </c>
      <c r="B53" s="69" t="s">
        <v>39</v>
      </c>
      <c r="C53" s="91">
        <v>-7.49801556</v>
      </c>
      <c r="D53" s="71"/>
      <c r="E53" s="72">
        <v>1</v>
      </c>
      <c r="F53" s="73">
        <v>0.8164716942237427</v>
      </c>
      <c r="G53" s="73">
        <v>2.767839043418488</v>
      </c>
      <c r="H53" s="73">
        <v>-0.6273476079487924</v>
      </c>
      <c r="I53" s="73">
        <v>-2.126708390946406</v>
      </c>
      <c r="J53" s="74">
        <v>2816.0023712384714</v>
      </c>
      <c r="K53" s="74">
        <v>-2230.26556955393</v>
      </c>
      <c r="L53" s="74">
        <v>-1.7944832155314345</v>
      </c>
      <c r="M53" s="73">
        <v>0.7276266041848972</v>
      </c>
      <c r="N53" s="73">
        <v>2.4666541881868014</v>
      </c>
      <c r="O53" s="73">
        <v>-0.7285263025794028</v>
      </c>
      <c r="P53" s="73">
        <v>-2.4697041657441754</v>
      </c>
      <c r="Q53" s="75">
        <v>2576.655346004318</v>
      </c>
      <c r="R53" s="75">
        <v>-2579.8413381940773</v>
      </c>
      <c r="S53" s="73">
        <v>2.31384604394602</v>
      </c>
      <c r="T53" s="73">
        <v>0.4447726284474016</v>
      </c>
      <c r="U53" s="73">
        <v>30.334307265067324</v>
      </c>
      <c r="V53" s="76">
        <f>IF(ISERR(Q53*($V$2/30)^2),"",(Q53*($V$2/30)^2))</f>
        <v>1789.3439902807766</v>
      </c>
      <c r="W53" s="73">
        <f>IF(ISERR(((V53/453.59)*$V$2/375)*746),"",(((V53/453.59)*$V$2/375)*746))</f>
        <v>196.19048285154133</v>
      </c>
      <c r="X53" s="73">
        <v>-28.895349425902456</v>
      </c>
      <c r="Y53" s="73">
        <v>67.46590057409755</v>
      </c>
      <c r="Z53" s="77"/>
      <c r="AA53" s="78"/>
      <c r="AB53" s="78"/>
      <c r="AC53" s="79">
        <f t="shared" si="0"/>
        <v>0.22847475371405773</v>
      </c>
      <c r="AR53" s="81"/>
      <c r="AS53" s="81"/>
      <c r="AT53" s="81"/>
      <c r="AU53" s="81"/>
      <c r="AV53" s="81"/>
      <c r="AW53" s="81"/>
      <c r="AX53" s="81"/>
    </row>
    <row r="54" spans="1:50" s="80" customFormat="1" ht="12.75">
      <c r="A54" s="56">
        <v>0</v>
      </c>
      <c r="B54" s="82" t="s">
        <v>39</v>
      </c>
      <c r="C54" s="83">
        <v>-7.49801556</v>
      </c>
      <c r="D54" s="84"/>
      <c r="E54" s="85">
        <v>2</v>
      </c>
      <c r="F54" s="73">
        <v>0.8192588235986196</v>
      </c>
      <c r="G54" s="73">
        <v>2.7772874119993207</v>
      </c>
      <c r="H54" s="73">
        <v>-0.6333905954640393</v>
      </c>
      <c r="I54" s="73">
        <v>-2.1471941186230934</v>
      </c>
      <c r="J54" s="74">
        <v>2785.705665027737</v>
      </c>
      <c r="K54" s="74">
        <v>-2219.572783773524</v>
      </c>
      <c r="L54" s="74">
        <v>-1.9194018155017338</v>
      </c>
      <c r="M54" s="73">
        <v>0.7296013412387707</v>
      </c>
      <c r="N54" s="73">
        <v>2.473348546799433</v>
      </c>
      <c r="O54" s="73">
        <v>-0.7348813164920383</v>
      </c>
      <c r="P54" s="73">
        <v>-2.4912476629080103</v>
      </c>
      <c r="Q54" s="75">
        <v>2583.648241477836</v>
      </c>
      <c r="R54" s="75">
        <v>-2602.3455738525136</v>
      </c>
      <c r="S54" s="73">
        <v>2.2809197704842803</v>
      </c>
      <c r="T54" s="73">
        <v>0.43844346699308956</v>
      </c>
      <c r="U54" s="73">
        <v>30.117703733996013</v>
      </c>
      <c r="V54" s="76">
        <f>IF(ISERR(Q54*($V$2/30)^2),"",(Q54*($V$2/30)^2))</f>
        <v>1794.200167692942</v>
      </c>
      <c r="W54" s="73">
        <f>IF(ISERR(((V54/453.59)*$V$2/375)*746),"",(((V54/453.59)*$V$2/375)*746))</f>
        <v>196.7229326188753</v>
      </c>
      <c r="X54" s="73">
        <v>-28.899534616112067</v>
      </c>
      <c r="Y54" s="73">
        <v>67.46171538388793</v>
      </c>
      <c r="Z54" s="86"/>
      <c r="AA54" s="87"/>
      <c r="AB54" s="87"/>
      <c r="AC54" s="88">
        <f t="shared" si="0"/>
        <v>0.229094821148974</v>
      </c>
      <c r="AR54" s="81"/>
      <c r="AS54" s="81"/>
      <c r="AT54" s="81"/>
      <c r="AU54" s="81"/>
      <c r="AV54" s="81"/>
      <c r="AW54" s="81"/>
      <c r="AX54" s="81"/>
    </row>
    <row r="55" spans="1:29" s="81" customFormat="1" ht="12.75">
      <c r="A55" s="56" t="s">
        <v>49</v>
      </c>
      <c r="B55" s="57" t="s">
        <v>39</v>
      </c>
      <c r="C55" s="58">
        <v>0</v>
      </c>
      <c r="D55" s="59">
        <v>18</v>
      </c>
      <c r="E55" s="60" t="s">
        <v>40</v>
      </c>
      <c r="F55" s="61">
        <v>0.721014953784594</v>
      </c>
      <c r="G55" s="61">
        <v>2.444240693329774</v>
      </c>
      <c r="H55" s="61">
        <v>-0.01688943784570681</v>
      </c>
      <c r="I55" s="61">
        <v>-0.05725519429694609</v>
      </c>
      <c r="J55" s="62">
        <v>2457.100540605673</v>
      </c>
      <c r="K55" s="62">
        <v>-57.95564975547959</v>
      </c>
      <c r="L55" s="62">
        <v>-1.7328091185728594</v>
      </c>
      <c r="M55" s="61">
        <v>0.7210143945435518</v>
      </c>
      <c r="N55" s="61">
        <v>2.4442387975026403</v>
      </c>
      <c r="O55" s="61">
        <v>-0.016913295147300243</v>
      </c>
      <c r="P55" s="61">
        <v>-0.057336070549347834</v>
      </c>
      <c r="Q55" s="62">
        <v>2553.2403344815334</v>
      </c>
      <c r="R55" s="62">
        <v>-59.89298921891264</v>
      </c>
      <c r="S55" s="63">
        <v>2.295834233320759</v>
      </c>
      <c r="T55" s="63">
        <v>0.4413103581827681</v>
      </c>
      <c r="U55" s="64">
        <v>30.215953862106144</v>
      </c>
      <c r="V55" s="65">
        <f>IF(ISERR(AVERAGE(V56:V57)),"",AVERAGE(V56:V57))</f>
        <v>1773.0835656121762</v>
      </c>
      <c r="W55" s="65">
        <f>IF(ISERR(AVERAGE(W56:W57)),"",AVERAGE(W56:W57))</f>
        <v>194.4076280262915</v>
      </c>
      <c r="X55" s="64">
        <v>-39.39676834536827</v>
      </c>
      <c r="Y55" s="64">
        <v>56.96448165463174</v>
      </c>
      <c r="Z55" s="66"/>
      <c r="AA55" s="67"/>
      <c r="AB55" s="67"/>
      <c r="AC55" s="61">
        <f t="shared" si="0"/>
        <v>0.22639851988667525</v>
      </c>
    </row>
    <row r="56" spans="1:50" s="80" customFormat="1" ht="12.75">
      <c r="A56" s="56">
        <v>0</v>
      </c>
      <c r="B56" s="69" t="s">
        <v>39</v>
      </c>
      <c r="C56" s="91">
        <v>-0.001895832</v>
      </c>
      <c r="D56" s="71"/>
      <c r="E56" s="72">
        <v>1</v>
      </c>
      <c r="F56" s="73">
        <v>0.7207406118018334</v>
      </c>
      <c r="G56" s="73">
        <v>2.443310674008215</v>
      </c>
      <c r="H56" s="73">
        <v>-0.01213151638294761</v>
      </c>
      <c r="I56" s="73">
        <v>-0.0411258405381924</v>
      </c>
      <c r="J56" s="74">
        <v>2446.658131793995</v>
      </c>
      <c r="K56" s="74">
        <v>-40.79039805882056</v>
      </c>
      <c r="L56" s="74">
        <v>-1.8715835846845834</v>
      </c>
      <c r="M56" s="73">
        <v>0.7207402099934752</v>
      </c>
      <c r="N56" s="73">
        <v>2.443309311877881</v>
      </c>
      <c r="O56" s="73">
        <v>-0.012155364609578084</v>
      </c>
      <c r="P56" s="73">
        <v>-0.0412066860264697</v>
      </c>
      <c r="Q56" s="75">
        <v>2552.2693981761768</v>
      </c>
      <c r="R56" s="75">
        <v>-43.04431012247909</v>
      </c>
      <c r="S56" s="73">
        <v>2.2869821022896457</v>
      </c>
      <c r="T56" s="73">
        <v>0.4396087818845653</v>
      </c>
      <c r="U56" s="73">
        <v>30.15770127290291</v>
      </c>
      <c r="V56" s="76">
        <f>IF(ISERR(Q56*($V$2/30)^2),"",(Q56*($V$2/30)^2))</f>
        <v>1772.409304289012</v>
      </c>
      <c r="W56" s="73">
        <f>IF(ISERR(((V56/453.59)*$V$2/375)*746),"",(((V56/453.59)*$V$2/375)*746))</f>
        <v>194.33369944951798</v>
      </c>
      <c r="X56" s="73">
        <v>-44.44474274074557</v>
      </c>
      <c r="Y56" s="73">
        <v>51.91650725925444</v>
      </c>
      <c r="Z56" s="77"/>
      <c r="AA56" s="78"/>
      <c r="AB56" s="78"/>
      <c r="AC56" s="79">
        <f t="shared" si="0"/>
        <v>0.22631242593795123</v>
      </c>
      <c r="AR56" s="81"/>
      <c r="AS56" s="81"/>
      <c r="AT56" s="81"/>
      <c r="AU56" s="81"/>
      <c r="AV56" s="81"/>
      <c r="AW56" s="81"/>
      <c r="AX56" s="81"/>
    </row>
    <row r="57" spans="1:50" s="80" customFormat="1" ht="12.75">
      <c r="A57" s="56">
        <v>0</v>
      </c>
      <c r="B57" s="82" t="s">
        <v>39</v>
      </c>
      <c r="C57" s="83">
        <v>-0.001895832</v>
      </c>
      <c r="D57" s="84"/>
      <c r="E57" s="85">
        <v>2</v>
      </c>
      <c r="F57" s="73">
        <v>0.7212892957673549</v>
      </c>
      <c r="G57" s="73">
        <v>2.4451707126513327</v>
      </c>
      <c r="H57" s="73">
        <v>-0.02164735930846601</v>
      </c>
      <c r="I57" s="73">
        <v>-0.07338454805569979</v>
      </c>
      <c r="J57" s="74">
        <v>2467.542949417351</v>
      </c>
      <c r="K57" s="74">
        <v>-75.12090145213863</v>
      </c>
      <c r="L57" s="74">
        <v>-1.5940346524611353</v>
      </c>
      <c r="M57" s="73">
        <v>0.7212885790936284</v>
      </c>
      <c r="N57" s="73">
        <v>2.4451682831274</v>
      </c>
      <c r="O57" s="73">
        <v>-0.02167122568502241</v>
      </c>
      <c r="P57" s="73">
        <v>-0.07346545507222596</v>
      </c>
      <c r="Q57" s="75">
        <v>2554.21127078689</v>
      </c>
      <c r="R57" s="75">
        <v>-76.74166831534619</v>
      </c>
      <c r="S57" s="73">
        <v>2.304686364351872</v>
      </c>
      <c r="T57" s="73">
        <v>0.4430119344809709</v>
      </c>
      <c r="U57" s="73">
        <v>30.27420645130938</v>
      </c>
      <c r="V57" s="76">
        <f>IF(ISERR(Q57*($V$2/30)^2),"",(Q57*($V$2/30)^2))</f>
        <v>1773.7578269353405</v>
      </c>
      <c r="W57" s="73">
        <f>IF(ISERR(((V57/453.59)*$V$2/375)*746),"",(((V57/453.59)*$V$2/375)*746))</f>
        <v>194.48155660306503</v>
      </c>
      <c r="X57" s="73">
        <v>-34.34879394999097</v>
      </c>
      <c r="Y57" s="73">
        <v>62.012456050009035</v>
      </c>
      <c r="Z57" s="86"/>
      <c r="AA57" s="87"/>
      <c r="AB57" s="87"/>
      <c r="AC57" s="88">
        <f t="shared" si="0"/>
        <v>0.22648461383539933</v>
      </c>
      <c r="AR57" s="81"/>
      <c r="AS57" s="81"/>
      <c r="AT57" s="81"/>
      <c r="AU57" s="81"/>
      <c r="AV57" s="81"/>
      <c r="AW57" s="81"/>
      <c r="AX57" s="81"/>
    </row>
    <row r="58" spans="1:29" s="81" customFormat="1" ht="12.75">
      <c r="A58" s="56">
        <v>0</v>
      </c>
      <c r="B58" s="57" t="s">
        <v>39</v>
      </c>
      <c r="C58" s="58">
        <v>-7.5</v>
      </c>
      <c r="D58" s="59">
        <v>19</v>
      </c>
      <c r="E58" s="60" t="s">
        <v>40</v>
      </c>
      <c r="F58" s="61">
        <v>0.788222341905859</v>
      </c>
      <c r="G58" s="61">
        <v>2.6720737390608624</v>
      </c>
      <c r="H58" s="61">
        <v>-0.6572526698181941</v>
      </c>
      <c r="I58" s="61">
        <v>-2.2280865506836776</v>
      </c>
      <c r="J58" s="62">
        <v>2688.772406162403</v>
      </c>
      <c r="K58" s="62">
        <v>-2313.7771670797765</v>
      </c>
      <c r="L58" s="62">
        <v>-1.7476045280441763</v>
      </c>
      <c r="M58" s="61">
        <v>0.6957289167186157</v>
      </c>
      <c r="N58" s="61">
        <v>2.3585210276761073</v>
      </c>
      <c r="O58" s="61">
        <v>-0.7544778371193168</v>
      </c>
      <c r="P58" s="61">
        <v>-2.557679867834484</v>
      </c>
      <c r="Q58" s="62">
        <v>2463.6999558873786</v>
      </c>
      <c r="R58" s="62">
        <v>-2671.7403421951644</v>
      </c>
      <c r="S58" s="63">
        <v>2.2911372462254347</v>
      </c>
      <c r="T58" s="63">
        <v>0.44040749288555586</v>
      </c>
      <c r="U58" s="64">
        <v>30.18502982135946</v>
      </c>
      <c r="V58" s="65">
        <f>IF(ISERR(AVERAGE(V59:V60)),"",AVERAGE(V59:V60))</f>
        <v>1710.902747144013</v>
      </c>
      <c r="W58" s="65">
        <f>IF(ISERR(AVERAGE(W59:W60)),"",AVERAGE(W59:W60))</f>
        <v>187.58988651563948</v>
      </c>
      <c r="X58" s="64">
        <v>-28.638460037533555</v>
      </c>
      <c r="Y58" s="64">
        <v>67.72278996246644</v>
      </c>
      <c r="Z58" s="66"/>
      <c r="AA58" s="67"/>
      <c r="AB58" s="67"/>
      <c r="AC58" s="61">
        <f t="shared" si="0"/>
        <v>0.21845887984964532</v>
      </c>
    </row>
    <row r="59" spans="1:50" s="80" customFormat="1" ht="12.75">
      <c r="A59" s="56">
        <v>0</v>
      </c>
      <c r="B59" s="69" t="s">
        <v>39</v>
      </c>
      <c r="C59" s="91">
        <v>-7.497067644</v>
      </c>
      <c r="D59" s="71"/>
      <c r="E59" s="72">
        <v>1</v>
      </c>
      <c r="F59" s="73">
        <v>0.783031457452117</v>
      </c>
      <c r="G59" s="73">
        <v>2.6544766407626765</v>
      </c>
      <c r="H59" s="73">
        <v>-0.6583585520407335</v>
      </c>
      <c r="I59" s="73">
        <v>-2.231835491418086</v>
      </c>
      <c r="J59" s="74">
        <v>2680.7782614757252</v>
      </c>
      <c r="K59" s="74">
        <v>-2326.595697682813</v>
      </c>
      <c r="L59" s="74">
        <v>-1.6893322018713606</v>
      </c>
      <c r="M59" s="73">
        <v>0.6904381158500538</v>
      </c>
      <c r="N59" s="73">
        <v>2.340585212731682</v>
      </c>
      <c r="O59" s="73">
        <v>-0.7548969827639963</v>
      </c>
      <c r="P59" s="73">
        <v>-2.5591007715699474</v>
      </c>
      <c r="Q59" s="75">
        <v>2444.9642880816414</v>
      </c>
      <c r="R59" s="75">
        <v>-2673.224611544177</v>
      </c>
      <c r="S59" s="73">
        <v>2.299908163714347</v>
      </c>
      <c r="T59" s="73">
        <v>0.44209345813620227</v>
      </c>
      <c r="U59" s="73">
        <v>30.24280710562966</v>
      </c>
      <c r="V59" s="76">
        <f>IF(ISERR(Q59*($V$2/30)^2),"",(Q59*($V$2/30)^2))</f>
        <v>1697.8918667233622</v>
      </c>
      <c r="W59" s="73">
        <f>IF(ISERR(((V59/453.59)*$V$2/375)*746),"",(((V59/453.59)*$V$2/375)*746))</f>
        <v>186.16332408498545</v>
      </c>
      <c r="X59" s="73">
        <v>-28.60391622345348</v>
      </c>
      <c r="Y59" s="73">
        <v>67.75733377654652</v>
      </c>
      <c r="Z59" s="77"/>
      <c r="AA59" s="78"/>
      <c r="AB59" s="78"/>
      <c r="AC59" s="79">
        <f t="shared" si="0"/>
        <v>0.21679756837691688</v>
      </c>
      <c r="AR59" s="81"/>
      <c r="AS59" s="81"/>
      <c r="AT59" s="81"/>
      <c r="AU59" s="81"/>
      <c r="AV59" s="81"/>
      <c r="AW59" s="81"/>
      <c r="AX59" s="81"/>
    </row>
    <row r="60" spans="1:50" s="80" customFormat="1" ht="12.75">
      <c r="A60" s="56">
        <v>0</v>
      </c>
      <c r="B60" s="82" t="s">
        <v>39</v>
      </c>
      <c r="C60" s="83">
        <v>-7.497067644</v>
      </c>
      <c r="D60" s="84"/>
      <c r="E60" s="85">
        <v>2</v>
      </c>
      <c r="F60" s="73">
        <v>0.7934132263596013</v>
      </c>
      <c r="G60" s="73">
        <v>2.6896708373590483</v>
      </c>
      <c r="H60" s="73">
        <v>-0.6561467875956545</v>
      </c>
      <c r="I60" s="73">
        <v>-2.2243376099492687</v>
      </c>
      <c r="J60" s="74">
        <v>2696.7665508490804</v>
      </c>
      <c r="K60" s="74">
        <v>-2300.95863647674</v>
      </c>
      <c r="L60" s="74">
        <v>-1.805876854216992</v>
      </c>
      <c r="M60" s="73">
        <v>0.7010197175871778</v>
      </c>
      <c r="N60" s="73">
        <v>2.3764568426205326</v>
      </c>
      <c r="O60" s="73">
        <v>-0.7540586914746373</v>
      </c>
      <c r="P60" s="73">
        <v>-2.5562589640990208</v>
      </c>
      <c r="Q60" s="75">
        <v>2482.4356236931153</v>
      </c>
      <c r="R60" s="75">
        <v>-2670.2560728461517</v>
      </c>
      <c r="S60" s="73">
        <v>2.282366328736523</v>
      </c>
      <c r="T60" s="73">
        <v>0.43872152763490957</v>
      </c>
      <c r="U60" s="73">
        <v>30.127252537089262</v>
      </c>
      <c r="V60" s="76">
        <f>IF(ISERR(Q60*($V$2/30)^2),"",(Q60*($V$2/30)^2))</f>
        <v>1723.9136275646636</v>
      </c>
      <c r="W60" s="73">
        <f>IF(ISERR(((V60/453.59)*$V$2/375)*746),"",(((V60/453.59)*$V$2/375)*746))</f>
        <v>189.0164489462935</v>
      </c>
      <c r="X60" s="73">
        <v>-28.67300385161363</v>
      </c>
      <c r="Y60" s="73">
        <v>67.68824614838637</v>
      </c>
      <c r="Z60" s="86"/>
      <c r="AA60" s="87"/>
      <c r="AB60" s="87"/>
      <c r="AC60" s="88">
        <f t="shared" si="0"/>
        <v>0.22012019132237384</v>
      </c>
      <c r="AR60" s="81"/>
      <c r="AS60" s="81"/>
      <c r="AT60" s="81"/>
      <c r="AU60" s="81"/>
      <c r="AV60" s="81"/>
      <c r="AW60" s="81"/>
      <c r="AX60" s="81"/>
    </row>
    <row r="61" spans="1:29" s="81" customFormat="1" ht="12.75">
      <c r="A61" s="56" t="s">
        <v>50</v>
      </c>
      <c r="B61" s="57" t="s">
        <v>39</v>
      </c>
      <c r="C61" s="58">
        <v>0</v>
      </c>
      <c r="D61" s="59">
        <v>20</v>
      </c>
      <c r="E61" s="60" t="s">
        <v>40</v>
      </c>
      <c r="F61" s="61">
        <v>0.7003373059985588</v>
      </c>
      <c r="G61" s="61">
        <v>2.3741434673351147</v>
      </c>
      <c r="H61" s="61">
        <v>-0.018921190256043576</v>
      </c>
      <c r="I61" s="61">
        <v>-0.06414283496798773</v>
      </c>
      <c r="J61" s="62">
        <v>2361.42090795599</v>
      </c>
      <c r="K61" s="62">
        <v>-64.25056844315799</v>
      </c>
      <c r="L61" s="62">
        <v>-1.9271365347837914</v>
      </c>
      <c r="M61" s="61">
        <v>0.7003369928657125</v>
      </c>
      <c r="N61" s="61">
        <v>2.3741424058147653</v>
      </c>
      <c r="O61" s="61">
        <v>-0.018932776812592728</v>
      </c>
      <c r="P61" s="61">
        <v>-0.06418211339468935</v>
      </c>
      <c r="Q61" s="62">
        <v>2480.0179739077785</v>
      </c>
      <c r="R61" s="62">
        <v>-67.04433332742371</v>
      </c>
      <c r="S61" s="63">
        <v>2.2740070934312686</v>
      </c>
      <c r="T61" s="63">
        <v>0.4371146968484549</v>
      </c>
      <c r="U61" s="64">
        <v>30.072022866724936</v>
      </c>
      <c r="V61" s="65">
        <f>IF(ISERR(AVERAGE(V62:V63)),"",AVERAGE(V62:V63))</f>
        <v>1722.2347041026242</v>
      </c>
      <c r="W61" s="65">
        <f>IF(ISERR(AVERAGE(W62:W63)),"",AVERAGE(W62:W63))</f>
        <v>188.83236539026544</v>
      </c>
      <c r="X61" s="64">
        <v>-38.348840254033156</v>
      </c>
      <c r="Y61" s="64">
        <v>58.01240974596685</v>
      </c>
      <c r="Z61" s="66"/>
      <c r="AA61" s="67"/>
      <c r="AB61" s="67"/>
      <c r="AC61" s="61">
        <f t="shared" si="0"/>
        <v>0.21990581575983373</v>
      </c>
    </row>
    <row r="62" spans="1:50" s="80" customFormat="1" ht="12.75">
      <c r="A62" s="56">
        <v>0</v>
      </c>
      <c r="B62" s="69" t="s">
        <v>39</v>
      </c>
      <c r="C62" s="91">
        <v>-0.000947916</v>
      </c>
      <c r="D62" s="71"/>
      <c r="E62" s="72">
        <v>1</v>
      </c>
      <c r="F62" s="73">
        <v>0.7028000619278413</v>
      </c>
      <c r="G62" s="73">
        <v>2.382492209935382</v>
      </c>
      <c r="H62" s="73">
        <v>-0.015702997684917383</v>
      </c>
      <c r="I62" s="73">
        <v>-0.05323316215186992</v>
      </c>
      <c r="J62" s="74">
        <v>2366.570827214951</v>
      </c>
      <c r="K62" s="74">
        <v>-52.92284899687081</v>
      </c>
      <c r="L62" s="74">
        <v>-1.9049067210177029</v>
      </c>
      <c r="M62" s="73">
        <v>0.7027998020372572</v>
      </c>
      <c r="N62" s="73">
        <v>2.382491328906302</v>
      </c>
      <c r="O62" s="73">
        <v>-0.015714624986369632</v>
      </c>
      <c r="P62" s="73">
        <v>-0.05327257870379305</v>
      </c>
      <c r="Q62" s="75">
        <v>2488.739219642269</v>
      </c>
      <c r="R62" s="75">
        <v>-55.64828477779673</v>
      </c>
      <c r="S62" s="73">
        <v>2.2706737161933193</v>
      </c>
      <c r="T62" s="73">
        <v>0.4364739476682714</v>
      </c>
      <c r="U62" s="73">
        <v>30.049982159230883</v>
      </c>
      <c r="V62" s="76">
        <f>IF(ISERR(Q62*($V$2/30)^2),"",(Q62*($V$2/30)^2))</f>
        <v>1728.2911247515758</v>
      </c>
      <c r="W62" s="73">
        <f>IF(ISERR(((V62/453.59)*$V$2/375)*746),"",(((V62/453.59)*$V$2/375)*746))</f>
        <v>189.49641439253887</v>
      </c>
      <c r="X62" s="73">
        <v>-40.44864790310895</v>
      </c>
      <c r="Y62" s="73">
        <v>55.91260209689106</v>
      </c>
      <c r="Z62" s="77"/>
      <c r="AA62" s="78"/>
      <c r="AB62" s="78"/>
      <c r="AC62" s="79">
        <f t="shared" si="0"/>
        <v>0.22067913783969878</v>
      </c>
      <c r="AR62" s="81"/>
      <c r="AS62" s="81"/>
      <c r="AT62" s="81"/>
      <c r="AU62" s="81"/>
      <c r="AV62" s="81"/>
      <c r="AW62" s="81"/>
      <c r="AX62" s="81"/>
    </row>
    <row r="63" spans="1:50" s="80" customFormat="1" ht="12.75">
      <c r="A63" s="56">
        <v>0</v>
      </c>
      <c r="B63" s="82" t="s">
        <v>39</v>
      </c>
      <c r="C63" s="83">
        <v>-0.000947916</v>
      </c>
      <c r="D63" s="84"/>
      <c r="E63" s="85">
        <v>2</v>
      </c>
      <c r="F63" s="73">
        <v>0.6978745500692763</v>
      </c>
      <c r="G63" s="73">
        <v>2.365794724734847</v>
      </c>
      <c r="H63" s="73">
        <v>-0.022139382827169766</v>
      </c>
      <c r="I63" s="73">
        <v>-0.07505250778410552</v>
      </c>
      <c r="J63" s="74">
        <v>2356.270988697029</v>
      </c>
      <c r="K63" s="74">
        <v>-75.57828788944515</v>
      </c>
      <c r="L63" s="74">
        <v>-1.94936634854988</v>
      </c>
      <c r="M63" s="73">
        <v>0.6978741836941678</v>
      </c>
      <c r="N63" s="73">
        <v>2.3657934827232285</v>
      </c>
      <c r="O63" s="73">
        <v>-0.022150928638815827</v>
      </c>
      <c r="P63" s="73">
        <v>-0.07509164808558566</v>
      </c>
      <c r="Q63" s="75">
        <v>2471.2967281732876</v>
      </c>
      <c r="R63" s="75">
        <v>-78.4403818770507</v>
      </c>
      <c r="S63" s="73">
        <v>2.277340470669218</v>
      </c>
      <c r="T63" s="73">
        <v>0.43775544602863853</v>
      </c>
      <c r="U63" s="73">
        <v>30.094063574218985</v>
      </c>
      <c r="V63" s="76">
        <f>IF(ISERR(Q63*($V$2/30)^2),"",(Q63*($V$2/30)^2))</f>
        <v>1716.1782834536723</v>
      </c>
      <c r="W63" s="73">
        <f>IF(ISERR(((V63/453.59)*$V$2/375)*746),"",(((V63/453.59)*$V$2/375)*746))</f>
        <v>188.168316387992</v>
      </c>
      <c r="X63" s="73">
        <v>-36.249032604957364</v>
      </c>
      <c r="Y63" s="73">
        <v>60.11221739504264</v>
      </c>
      <c r="Z63" s="86"/>
      <c r="AA63" s="87"/>
      <c r="AB63" s="87"/>
      <c r="AC63" s="88">
        <f t="shared" si="0"/>
        <v>0.21913249367996868</v>
      </c>
      <c r="AR63" s="81"/>
      <c r="AS63" s="81"/>
      <c r="AT63" s="81"/>
      <c r="AU63" s="81"/>
      <c r="AV63" s="81"/>
      <c r="AW63" s="81"/>
      <c r="AX63" s="81"/>
    </row>
    <row r="64" spans="1:29" s="81" customFormat="1" ht="12.75">
      <c r="A64" s="56">
        <v>0</v>
      </c>
      <c r="B64" s="57" t="s">
        <v>39</v>
      </c>
      <c r="C64" s="58">
        <v>-7.5</v>
      </c>
      <c r="D64" s="59">
        <v>21</v>
      </c>
      <c r="E64" s="60" t="s">
        <v>40</v>
      </c>
      <c r="F64" s="61">
        <v>0.7609313849807162</v>
      </c>
      <c r="G64" s="61">
        <v>2.5795573950846276</v>
      </c>
      <c r="H64" s="61">
        <v>-0.6856518746649871</v>
      </c>
      <c r="I64" s="61">
        <v>-2.3243598551143063</v>
      </c>
      <c r="J64" s="62">
        <v>2596.5261759621444</v>
      </c>
      <c r="K64" s="62">
        <v>-2417.189350494177</v>
      </c>
      <c r="L64" s="62">
        <v>-1.9232943568447858</v>
      </c>
      <c r="M64" s="61">
        <v>0.6649529671074068</v>
      </c>
      <c r="N64" s="61">
        <v>2.254190558494109</v>
      </c>
      <c r="O64" s="61">
        <v>-0.77908447386361</v>
      </c>
      <c r="P64" s="61">
        <v>-2.6410963663976377</v>
      </c>
      <c r="Q64" s="62">
        <v>2354.716839220124</v>
      </c>
      <c r="R64" s="62">
        <v>-2758.8768236675455</v>
      </c>
      <c r="S64" s="63">
        <v>2.2945205108589617</v>
      </c>
      <c r="T64" s="63">
        <v>0.44105783153177824</v>
      </c>
      <c r="U64" s="64">
        <v>30.207361089531098</v>
      </c>
      <c r="V64" s="65">
        <f>IF(ISERR(AVERAGE(V65:V66)),"",AVERAGE(V65:V66))</f>
        <v>1635.2200272361972</v>
      </c>
      <c r="W64" s="65">
        <f>IF(ISERR(AVERAGE(W65:W66)),"",AVERAGE(W65:W66))</f>
        <v>179.2917451616663</v>
      </c>
      <c r="X64" s="64">
        <v>-28.44134872596792</v>
      </c>
      <c r="Y64" s="64">
        <v>67.91990127403209</v>
      </c>
      <c r="Z64" s="66"/>
      <c r="AA64" s="67"/>
      <c r="AB64" s="67"/>
      <c r="AC64" s="61">
        <f t="shared" si="0"/>
        <v>0.20879523167172573</v>
      </c>
    </row>
    <row r="65" spans="1:50" s="80" customFormat="1" ht="12.75">
      <c r="A65" s="56">
        <v>0</v>
      </c>
      <c r="B65" s="69" t="s">
        <v>39</v>
      </c>
      <c r="C65" s="91">
        <v>-7.49801556</v>
      </c>
      <c r="D65" s="71"/>
      <c r="E65" s="72">
        <v>1</v>
      </c>
      <c r="F65" s="73">
        <v>0.7603847856238923</v>
      </c>
      <c r="G65" s="73">
        <v>2.5777044232649953</v>
      </c>
      <c r="H65" s="73">
        <v>-0.6907863133049718</v>
      </c>
      <c r="I65" s="73">
        <v>-2.3417656021038544</v>
      </c>
      <c r="J65" s="74">
        <v>2592.449945963145</v>
      </c>
      <c r="K65" s="74">
        <v>-2433.3051620557085</v>
      </c>
      <c r="L65" s="74">
        <v>-1.9219130873200951</v>
      </c>
      <c r="M65" s="73">
        <v>0.6637410390986337</v>
      </c>
      <c r="N65" s="73">
        <v>2.2500821225443683</v>
      </c>
      <c r="O65" s="73">
        <v>-0.784103683114697</v>
      </c>
      <c r="P65" s="73">
        <v>-2.658111485758823</v>
      </c>
      <c r="Q65" s="75">
        <v>2350.4251863794807</v>
      </c>
      <c r="R65" s="75">
        <v>-2776.6507372038923</v>
      </c>
      <c r="S65" s="73">
        <v>2.292622603234768</v>
      </c>
      <c r="T65" s="73">
        <v>0.44069301151068324</v>
      </c>
      <c r="U65" s="73">
        <v>30.19486811105186</v>
      </c>
      <c r="V65" s="76">
        <f>IF(ISERR(Q65*($V$2/30)^2),"",(Q65*($V$2/30)^2))</f>
        <v>1632.2397127635284</v>
      </c>
      <c r="W65" s="73">
        <f>IF(ISERR(((V65/453.59)*$V$2/375)*746),"",(((V65/453.59)*$V$2/375)*746))</f>
        <v>178.9649721439468</v>
      </c>
      <c r="X65" s="73">
        <v>-28.41719670893961</v>
      </c>
      <c r="Y65" s="73">
        <v>67.9440532910604</v>
      </c>
      <c r="Z65" s="77"/>
      <c r="AA65" s="78"/>
      <c r="AB65" s="78"/>
      <c r="AC65" s="79">
        <f t="shared" si="0"/>
        <v>0.208414686276971</v>
      </c>
      <c r="AR65" s="81"/>
      <c r="AS65" s="81"/>
      <c r="AT65" s="81"/>
      <c r="AU65" s="81"/>
      <c r="AV65" s="81"/>
      <c r="AW65" s="81"/>
      <c r="AX65" s="81"/>
    </row>
    <row r="66" spans="1:50" s="80" customFormat="1" ht="12.75">
      <c r="A66" s="56">
        <v>0</v>
      </c>
      <c r="B66" s="93" t="s">
        <v>39</v>
      </c>
      <c r="C66" s="94">
        <v>-7.49801556</v>
      </c>
      <c r="D66" s="95"/>
      <c r="E66" s="96">
        <v>2</v>
      </c>
      <c r="F66" s="97">
        <v>0.7614779843375399</v>
      </c>
      <c r="G66" s="97">
        <v>2.5814103669042603</v>
      </c>
      <c r="H66" s="97">
        <v>-0.6805174360250025</v>
      </c>
      <c r="I66" s="97">
        <v>-2.306954108124758</v>
      </c>
      <c r="J66" s="98">
        <v>2600.602405961144</v>
      </c>
      <c r="K66" s="98">
        <v>-2401.073538932645</v>
      </c>
      <c r="L66" s="98">
        <v>-1.9246756263694764</v>
      </c>
      <c r="M66" s="97">
        <v>0.66616489511618</v>
      </c>
      <c r="N66" s="97">
        <v>2.2582989944438503</v>
      </c>
      <c r="O66" s="97">
        <v>-0.7740652646125226</v>
      </c>
      <c r="P66" s="97">
        <v>-2.624081247036452</v>
      </c>
      <c r="Q66" s="99">
        <v>2359.008492060767</v>
      </c>
      <c r="R66" s="99">
        <v>-2741.1029101311988</v>
      </c>
      <c r="S66" s="97">
        <v>2.2964184184831558</v>
      </c>
      <c r="T66" s="97">
        <v>0.4414226515528733</v>
      </c>
      <c r="U66" s="97">
        <v>30.21985406801033</v>
      </c>
      <c r="V66" s="100">
        <f>IF(ISERR(Q66*($V$2/30)^2),"",(Q66*($V$2/30)^2))</f>
        <v>1638.200341708866</v>
      </c>
      <c r="W66" s="97">
        <f>IF(ISERR(((V66/453.59)*$V$2/375)*746),"",(((V66/453.59)*$V$2/375)*746))</f>
        <v>179.61851817938583</v>
      </c>
      <c r="X66" s="97">
        <v>-28.465500742996227</v>
      </c>
      <c r="Y66" s="97">
        <v>67.89574925700377</v>
      </c>
      <c r="Z66" s="101"/>
      <c r="AA66" s="102"/>
      <c r="AB66" s="102"/>
      <c r="AC66" s="103">
        <f t="shared" si="0"/>
        <v>0.20917577706648052</v>
      </c>
      <c r="AR66" s="81"/>
      <c r="AS66" s="81"/>
      <c r="AT66" s="81"/>
      <c r="AU66" s="81"/>
      <c r="AV66" s="81"/>
      <c r="AW66" s="81"/>
      <c r="AX66" s="81"/>
    </row>
    <row r="67" spans="1:30" s="81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50" s="80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R68" s="81"/>
      <c r="AS68" s="81"/>
      <c r="AT68" s="81"/>
      <c r="AU68" s="81"/>
      <c r="AV68" s="81"/>
      <c r="AW68" s="81"/>
      <c r="AX68" s="81"/>
    </row>
    <row r="69" spans="1:50" s="80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R69" s="81"/>
      <c r="AS69" s="81"/>
      <c r="AT69" s="81"/>
      <c r="AU69" s="81"/>
      <c r="AV69" s="81"/>
      <c r="AW69" s="81"/>
      <c r="AX69" s="81"/>
    </row>
    <row r="70" spans="1:30" s="81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50" s="80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R71" s="81"/>
      <c r="AS71" s="81"/>
      <c r="AT71" s="81"/>
      <c r="AU71" s="81"/>
      <c r="AV71" s="81"/>
      <c r="AW71" s="81"/>
      <c r="AX71" s="81"/>
    </row>
    <row r="72" spans="1:50" s="80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R72" s="81"/>
      <c r="AS72" s="81"/>
      <c r="AT72" s="81"/>
      <c r="AU72" s="81"/>
      <c r="AV72" s="81"/>
      <c r="AW72" s="81"/>
      <c r="AX72" s="81"/>
    </row>
    <row r="73" spans="1:30" s="81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50" s="80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R74" s="81"/>
      <c r="AS74" s="81"/>
      <c r="AT74" s="81"/>
      <c r="AU74" s="81"/>
      <c r="AV74" s="81"/>
      <c r="AW74" s="81"/>
      <c r="AX74" s="81"/>
    </row>
    <row r="75" spans="1:50" s="80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R75" s="81"/>
      <c r="AS75" s="81"/>
      <c r="AT75" s="81"/>
      <c r="AU75" s="81"/>
      <c r="AV75" s="81"/>
      <c r="AW75" s="81"/>
      <c r="AX75" s="81"/>
    </row>
    <row r="76" spans="1:30" s="8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50" s="80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R77" s="81"/>
      <c r="AS77" s="81"/>
      <c r="AT77" s="81"/>
      <c r="AU77" s="81"/>
      <c r="AV77" s="81"/>
      <c r="AW77" s="81"/>
      <c r="AX77" s="81"/>
    </row>
    <row r="78" spans="1:50" s="80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R78" s="81"/>
      <c r="AS78" s="81"/>
      <c r="AT78" s="81"/>
      <c r="AU78" s="81"/>
      <c r="AV78" s="81"/>
      <c r="AW78" s="81"/>
      <c r="AX78" s="81"/>
    </row>
    <row r="79" spans="1:30" s="81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50" s="80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R80" s="81"/>
      <c r="AS80" s="81"/>
      <c r="AT80" s="81"/>
      <c r="AU80" s="81"/>
      <c r="AV80" s="81"/>
      <c r="AW80" s="81"/>
      <c r="AX80" s="81"/>
    </row>
    <row r="81" spans="1:50" s="80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R81" s="81"/>
      <c r="AS81" s="81"/>
      <c r="AT81" s="81"/>
      <c r="AU81" s="81"/>
      <c r="AV81" s="81"/>
      <c r="AW81" s="81"/>
      <c r="AX81" s="81"/>
    </row>
    <row r="82" spans="1:30" s="81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50" s="80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R83" s="81"/>
      <c r="AS83" s="81"/>
      <c r="AT83" s="81"/>
      <c r="AU83" s="81"/>
      <c r="AV83" s="81"/>
      <c r="AW83" s="81"/>
      <c r="AX83" s="81"/>
    </row>
    <row r="84" spans="1:50" s="80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R84" s="81"/>
      <c r="AS84" s="81"/>
      <c r="AT84" s="81"/>
      <c r="AU84" s="81"/>
      <c r="AV84" s="81"/>
      <c r="AW84" s="81"/>
      <c r="AX84" s="81"/>
    </row>
    <row r="85" spans="1:30" s="81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50" s="80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R86" s="81"/>
      <c r="AS86" s="81"/>
      <c r="AT86" s="81"/>
      <c r="AU86" s="81"/>
      <c r="AV86" s="81"/>
      <c r="AW86" s="81"/>
      <c r="AX86" s="81"/>
    </row>
    <row r="87" spans="1:50" s="80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R87" s="81"/>
      <c r="AS87" s="81"/>
      <c r="AT87" s="81"/>
      <c r="AU87" s="81"/>
      <c r="AV87" s="81"/>
      <c r="AW87" s="81"/>
      <c r="AX87" s="81"/>
    </row>
    <row r="88" spans="1:30" s="81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50" s="80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R89" s="81"/>
      <c r="AS89" s="81"/>
      <c r="AT89" s="81"/>
      <c r="AU89" s="81"/>
      <c r="AV89" s="81"/>
      <c r="AW89" s="81"/>
      <c r="AX89" s="81"/>
    </row>
    <row r="90" spans="1:50" s="80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R90" s="81"/>
      <c r="AS90" s="81"/>
      <c r="AT90" s="81"/>
      <c r="AU90" s="81"/>
      <c r="AV90" s="81"/>
      <c r="AW90" s="81"/>
      <c r="AX90" s="81"/>
    </row>
    <row r="91" spans="1:30" s="81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50" s="80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R92" s="81"/>
      <c r="AS92" s="81"/>
      <c r="AT92" s="81"/>
      <c r="AU92" s="81"/>
      <c r="AV92" s="81"/>
      <c r="AW92" s="81"/>
      <c r="AX92" s="81"/>
    </row>
    <row r="93" spans="1:50" s="80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R93" s="81"/>
      <c r="AS93" s="81"/>
      <c r="AT93" s="81"/>
      <c r="AU93" s="81"/>
      <c r="AV93" s="81"/>
      <c r="AW93" s="81"/>
      <c r="AX93" s="81"/>
    </row>
    <row r="94" spans="1:30" s="81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44" s="81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R95" s="104"/>
    </row>
    <row r="96" spans="1:44" s="81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R96" s="104"/>
    </row>
    <row r="97" spans="1:30" s="8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s="81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s="81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s="81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s="81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s="81" customFormat="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s="81" customFormat="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s="81" customFormat="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s="81" customFormat="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s="81" customFormat="1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s="81" customFormat="1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s="81" customFormat="1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s="81" customFormat="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s="81" customFormat="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s="81" customFormat="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s="81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s="81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s="81" customFormat="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s="81" customFormat="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s="81" customFormat="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s="81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s="81" customFormat="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s="81" customFormat="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s="81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s="81" customFormat="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s="81" customFormat="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s="81" customFormat="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s="81" customFormat="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:3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30" s="81" customFormat="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:3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:30" s="81" customFormat="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1:30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1:30" s="81" customFormat="1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1:30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1:30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</row>
    <row r="186" spans="1:30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</row>
    <row r="187" spans="1:30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:30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</row>
    <row r="189" spans="1:30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</row>
    <row r="190" spans="1:30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  <row r="191" spans="1:30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</row>
    <row r="192" spans="1:30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</row>
    <row r="193" spans="1:30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</row>
    <row r="194" spans="1:30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</row>
  </sheetData>
  <sheetProtection selectLockedCells="1" selectUnlockedCells="1"/>
  <conditionalFormatting sqref="C5 C8 C11 C14 C17 C23 C26 C29">
    <cfRule type="cellIs" priority="1" dxfId="0" operator="greaterThan" stopIfTrue="1">
      <formula>$C65522+0.1</formula>
    </cfRule>
    <cfRule type="cellIs" priority="2" dxfId="0" operator="lessThan" stopIfTrue="1">
      <formula>$C65522-0.1</formula>
    </cfRule>
  </conditionalFormatting>
  <conditionalFormatting sqref="C6 C9 C12 C15 C18 C20:C21 C24 C27 C30 C32:C33 C35:C36 C38:C39 C41:C42 C44:C45 C47:C48 C50:C51 C53:C54 C56:C57 C59:C60 C62:C63 C65:C66">
    <cfRule type="cellIs" priority="3" dxfId="0" operator="greaterThan" stopIfTrue="1">
      <formula>$C65468+0.1</formula>
    </cfRule>
    <cfRule type="cellIs" priority="4" dxfId="0" operator="lessThan" stopIfTrue="1">
      <formula>$C65468-0.1</formula>
    </cfRule>
  </conditionalFormatting>
  <conditionalFormatting sqref="A1:A2 A4 A6:A27 A29:A66">
    <cfRule type="cellIs" priority="5" dxfId="1" operator="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scale="43"/>
  <rowBreaks count="1" manualBreakCount="1">
    <brk id="48" max="255" man="1"/>
  </rowBreaks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zoomScale="82" zoomScaleNormal="82" workbookViewId="0" topLeftCell="A1">
      <selection activeCell="I35" sqref="I35"/>
    </sheetView>
  </sheetViews>
  <sheetFormatPr defaultColWidth="11.421875" defaultRowHeight="12.75"/>
  <cols>
    <col min="1" max="1" width="25.57421875" style="105" customWidth="1"/>
    <col min="2" max="12" width="10.28125" style="105" customWidth="1"/>
    <col min="13" max="13" width="0.85546875" style="105" customWidth="1"/>
    <col min="14" max="15" width="11.28125" style="105" customWidth="1"/>
    <col min="16" max="23" width="10.28125" style="105" customWidth="1"/>
    <col min="24" max="25" width="8.421875" style="105" customWidth="1"/>
    <col min="26" max="26" width="10.421875" style="105" customWidth="1"/>
    <col min="27" max="16384" width="11.140625" style="105" customWidth="1"/>
  </cols>
  <sheetData>
    <row r="1" spans="1:25" ht="15" customHeight="1">
      <c r="A1" s="106" t="s">
        <v>51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 t="s">
        <v>52</v>
      </c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81"/>
    </row>
    <row r="2" spans="2:26" ht="12.75">
      <c r="B2" s="108" t="s">
        <v>53</v>
      </c>
      <c r="C2" s="108" t="s">
        <v>54</v>
      </c>
      <c r="D2" s="109" t="s">
        <v>55</v>
      </c>
      <c r="E2" s="109" t="s">
        <v>56</v>
      </c>
      <c r="F2" s="109" t="s">
        <v>57</v>
      </c>
      <c r="G2" s="109" t="s">
        <v>58</v>
      </c>
      <c r="H2" s="109" t="s">
        <v>59</v>
      </c>
      <c r="I2" s="109" t="s">
        <v>60</v>
      </c>
      <c r="J2" s="109" t="s">
        <v>61</v>
      </c>
      <c r="K2" s="109" t="s">
        <v>62</v>
      </c>
      <c r="L2" s="110" t="s">
        <v>63</v>
      </c>
      <c r="M2" s="111"/>
      <c r="N2" s="112" t="s">
        <v>64</v>
      </c>
      <c r="O2" s="112" t="s">
        <v>65</v>
      </c>
      <c r="P2" s="113" t="s">
        <v>66</v>
      </c>
      <c r="Q2" s="113" t="s">
        <v>67</v>
      </c>
      <c r="R2" s="113" t="s">
        <v>68</v>
      </c>
      <c r="S2" s="113" t="s">
        <v>69</v>
      </c>
      <c r="T2" s="113" t="s">
        <v>70</v>
      </c>
      <c r="U2" s="113" t="s">
        <v>71</v>
      </c>
      <c r="V2" s="113" t="s">
        <v>72</v>
      </c>
      <c r="W2" s="113" t="s">
        <v>73</v>
      </c>
      <c r="X2" s="114" t="s">
        <v>74</v>
      </c>
      <c r="Y2" s="114" t="s">
        <v>75</v>
      </c>
      <c r="Z2" s="114" t="s">
        <v>76</v>
      </c>
    </row>
    <row r="3" spans="2:26" ht="12.75">
      <c r="B3" s="115">
        <v>294</v>
      </c>
      <c r="C3" s="115">
        <v>273</v>
      </c>
      <c r="D3" s="116">
        <v>165</v>
      </c>
      <c r="E3" s="116">
        <v>10</v>
      </c>
      <c r="F3" s="117">
        <f>D3+E3</f>
        <v>175</v>
      </c>
      <c r="G3" s="116">
        <v>28.5</v>
      </c>
      <c r="H3" s="118">
        <f>G3*1.46667</f>
        <v>41.800095000000006</v>
      </c>
      <c r="I3" s="119">
        <v>24.9</v>
      </c>
      <c r="J3" s="117">
        <v>0.0023780000000000003</v>
      </c>
      <c r="K3" s="117">
        <v>29.92</v>
      </c>
      <c r="L3" s="120">
        <f>0.5*(J3*(H3)^2)</f>
        <v>2.0774778030487315</v>
      </c>
      <c r="N3" s="120">
        <f>B3*0.092903</f>
        <v>27.313482</v>
      </c>
      <c r="O3" s="120">
        <f>C3*0.092903</f>
        <v>25.362519</v>
      </c>
      <c r="P3" s="118">
        <f>D3*0.453592</f>
        <v>74.84268</v>
      </c>
      <c r="Q3" s="118">
        <f>E3*0.453592</f>
        <v>4.53592</v>
      </c>
      <c r="R3" s="118">
        <f>P3+Q3</f>
        <v>79.3786</v>
      </c>
      <c r="S3" s="118">
        <f>G3*1.609344</f>
        <v>45.866304</v>
      </c>
      <c r="T3" s="118">
        <f>S3*0.277778</f>
        <v>12.740650192511998</v>
      </c>
      <c r="U3" s="118">
        <f>I3*1.609344</f>
        <v>40.0726656</v>
      </c>
      <c r="V3" s="117">
        <v>1.225</v>
      </c>
      <c r="W3" s="117">
        <v>101.325</v>
      </c>
      <c r="X3" s="118">
        <f>L3*4.882401</f>
        <v>10.143079703082929</v>
      </c>
      <c r="Y3" s="117">
        <v>0.004</v>
      </c>
      <c r="Z3" s="117">
        <v>0.0003</v>
      </c>
    </row>
    <row r="5" spans="2:3" ht="12.75">
      <c r="B5" s="121" t="s">
        <v>77</v>
      </c>
      <c r="C5" s="122">
        <f>B3-C3</f>
        <v>21</v>
      </c>
    </row>
    <row r="6" spans="2:3" ht="12.75">
      <c r="B6" s="121" t="s">
        <v>78</v>
      </c>
      <c r="C6" s="123">
        <f>(C3-B3)/B3</f>
        <v>-0.07142857142857142</v>
      </c>
    </row>
    <row r="7" spans="10:17" ht="12.75">
      <c r="J7" s="124" t="s">
        <v>79</v>
      </c>
      <c r="K7" s="124"/>
      <c r="L7" s="124"/>
      <c r="O7" s="125" t="s">
        <v>80</v>
      </c>
      <c r="P7" s="125"/>
      <c r="Q7" s="125"/>
    </row>
    <row r="8" spans="11:26" ht="12.75">
      <c r="K8" s="126" t="s">
        <v>81</v>
      </c>
      <c r="L8" s="126"/>
      <c r="M8" s="126"/>
      <c r="P8" s="126" t="s">
        <v>81</v>
      </c>
      <c r="Y8" s="127" t="s">
        <v>80</v>
      </c>
      <c r="Z8" s="127"/>
    </row>
    <row r="9" spans="3:26" ht="12.75">
      <c r="C9" s="128"/>
      <c r="K9" s="129" t="s">
        <v>82</v>
      </c>
      <c r="L9" s="130">
        <f>B3*(0.5*(J3*H3^2))</f>
        <v>610.778474096327</v>
      </c>
      <c r="M9" s="129"/>
      <c r="P9" s="129" t="s">
        <v>83</v>
      </c>
      <c r="Q9" s="131">
        <f>L9*453.592</f>
        <v>277044.2296223012</v>
      </c>
      <c r="Y9" s="132" t="s">
        <v>84</v>
      </c>
      <c r="Z9" s="131">
        <f>0.5*V3*T3^3*N3</f>
        <v>34598.55312454811</v>
      </c>
    </row>
    <row r="10" spans="2:26" ht="12.75">
      <c r="B10" s="133">
        <v>294</v>
      </c>
      <c r="C10" s="133">
        <v>288</v>
      </c>
      <c r="D10" s="133">
        <v>273</v>
      </c>
      <c r="E10" s="133">
        <v>265</v>
      </c>
      <c r="K10" s="129" t="s">
        <v>85</v>
      </c>
      <c r="L10" s="130">
        <f>(B3*L3*G3*1.46667)/550</f>
        <v>46.41926952942092</v>
      </c>
      <c r="M10" s="130"/>
      <c r="P10" s="129" t="s">
        <v>86</v>
      </c>
      <c r="Q10" s="131">
        <f>Z9</f>
        <v>34598.55312454811</v>
      </c>
      <c r="Y10" s="132" t="s">
        <v>87</v>
      </c>
      <c r="Z10" s="131">
        <f>Y3*R3*9.81*T3</f>
        <v>39.6847844335711</v>
      </c>
    </row>
    <row r="11" spans="2:26" ht="12.75">
      <c r="B11" s="133">
        <v>283</v>
      </c>
      <c r="C11" s="133">
        <v>279</v>
      </c>
      <c r="D11" s="133">
        <v>263</v>
      </c>
      <c r="E11" s="133">
        <v>251</v>
      </c>
      <c r="K11" s="129" t="s">
        <v>88</v>
      </c>
      <c r="L11" s="130">
        <f>Q11/746</f>
        <v>46.43594405873217</v>
      </c>
      <c r="P11" s="129" t="s">
        <v>89</v>
      </c>
      <c r="Q11" s="134">
        <f>Z12</f>
        <v>34641.2142678142</v>
      </c>
      <c r="Y11" s="132" t="s">
        <v>90</v>
      </c>
      <c r="Z11" s="131">
        <f>Z3*R3*9.81*T3</f>
        <v>2.9763588325178327</v>
      </c>
    </row>
    <row r="12" spans="11:26" ht="12.75">
      <c r="K12" s="135" t="s">
        <v>91</v>
      </c>
      <c r="L12" s="136">
        <f>((B3*0.5*J3*H3^3)/550)+(F3*(Y3+Z3)*H3/550)</f>
        <v>46.4764596593982</v>
      </c>
      <c r="Y12" s="132" t="s">
        <v>92</v>
      </c>
      <c r="Z12" s="137">
        <f>SUM(Z9:Z11)</f>
        <v>34641.2142678142</v>
      </c>
    </row>
    <row r="14" spans="10:26" ht="12.75">
      <c r="J14" s="124" t="s">
        <v>93</v>
      </c>
      <c r="K14" s="124"/>
      <c r="L14" s="124"/>
      <c r="O14" s="125" t="s">
        <v>94</v>
      </c>
      <c r="P14" s="125"/>
      <c r="Q14" s="125"/>
      <c r="Y14" s="127" t="s">
        <v>94</v>
      </c>
      <c r="Z14" s="127"/>
    </row>
    <row r="15" spans="11:26" ht="12.75">
      <c r="K15" s="126" t="s">
        <v>81</v>
      </c>
      <c r="P15" s="126" t="s">
        <v>81</v>
      </c>
      <c r="Y15" s="132" t="s">
        <v>84</v>
      </c>
      <c r="Z15" s="131">
        <f>0.5*V3*T3^3*O3</f>
        <v>32127.227901366103</v>
      </c>
    </row>
    <row r="16" spans="11:26" ht="12.75">
      <c r="K16" s="129" t="s">
        <v>82</v>
      </c>
      <c r="L16" s="130">
        <f>((((H3)^2)*J3)*C3)/2</f>
        <v>567.1514402323037</v>
      </c>
      <c r="P16" s="129" t="s">
        <v>83</v>
      </c>
      <c r="Q16" s="131">
        <f>L16*453.592</f>
        <v>257255.3560778511</v>
      </c>
      <c r="Y16" s="132" t="s">
        <v>87</v>
      </c>
      <c r="Z16" s="131">
        <f>Y3*R3*9.81*T3</f>
        <v>39.6847844335711</v>
      </c>
    </row>
    <row r="17" spans="2:26" ht="12.75">
      <c r="B17" s="126" t="s">
        <v>95</v>
      </c>
      <c r="C17" s="126" t="s">
        <v>96</v>
      </c>
      <c r="K17" s="129" t="s">
        <v>85</v>
      </c>
      <c r="L17" s="130">
        <f>Q17/746</f>
        <v>43.06598914392239</v>
      </c>
      <c r="P17" s="129" t="s">
        <v>86</v>
      </c>
      <c r="Q17" s="131">
        <f>Z15</f>
        <v>32127.227901366103</v>
      </c>
      <c r="Y17" s="132" t="s">
        <v>90</v>
      </c>
      <c r="Z17" s="131">
        <f>Z3*R3*9.81*T3</f>
        <v>2.9763588325178327</v>
      </c>
    </row>
    <row r="18" spans="2:26" ht="12.75">
      <c r="B18" s="105">
        <v>10</v>
      </c>
      <c r="C18" s="131">
        <f>B18*1.6093</f>
        <v>16.093000000000004</v>
      </c>
      <c r="K18" s="129" t="s">
        <v>88</v>
      </c>
      <c r="L18" s="130">
        <f>Q18/746</f>
        <v>43.123175663045835</v>
      </c>
      <c r="P18" s="129" t="s">
        <v>89</v>
      </c>
      <c r="Q18" s="131">
        <f>Z18</f>
        <v>32169.889044632193</v>
      </c>
      <c r="Y18" s="132" t="s">
        <v>92</v>
      </c>
      <c r="Z18" s="137">
        <f>SUM(Z15:Z17)</f>
        <v>32169.889044632193</v>
      </c>
    </row>
    <row r="20" spans="8:17" ht="12.75">
      <c r="H20" s="138"/>
      <c r="I20" s="139" t="s">
        <v>97</v>
      </c>
      <c r="J20" s="140"/>
      <c r="K20" s="141" t="s">
        <v>98</v>
      </c>
      <c r="L20" s="142">
        <f>L9-L16</f>
        <v>43.62703386402336</v>
      </c>
      <c r="M20" s="143"/>
      <c r="N20" s="143"/>
      <c r="O20" s="143"/>
      <c r="P20" s="141" t="s">
        <v>99</v>
      </c>
      <c r="Q20" s="144">
        <f>Q9-Q16</f>
        <v>19788.873544450093</v>
      </c>
    </row>
    <row r="21" spans="8:17" ht="12.75">
      <c r="H21" s="138"/>
      <c r="I21" s="138"/>
      <c r="J21" s="145"/>
      <c r="K21" s="146" t="s">
        <v>100</v>
      </c>
      <c r="L21" s="142">
        <f>L11-L18</f>
        <v>3.3127683956863336</v>
      </c>
      <c r="M21" s="147"/>
      <c r="N21" s="147"/>
      <c r="O21" s="147"/>
      <c r="P21" s="146" t="s">
        <v>101</v>
      </c>
      <c r="Q21" s="144">
        <f>Q11-Q18</f>
        <v>2471.3252231820043</v>
      </c>
    </row>
    <row r="22" spans="1:11" ht="12.75">
      <c r="A22" s="129"/>
      <c r="H22" s="138"/>
      <c r="I22" s="138"/>
      <c r="K22" s="121"/>
    </row>
    <row r="23" spans="8:9" ht="12.75">
      <c r="H23" s="138"/>
      <c r="I23" s="138"/>
    </row>
    <row r="24" spans="8:17" ht="12.75">
      <c r="H24" s="138"/>
      <c r="I24" s="139" t="s">
        <v>102</v>
      </c>
      <c r="J24" s="140"/>
      <c r="K24" s="148" t="s">
        <v>103</v>
      </c>
      <c r="L24" s="149">
        <f>((550*L10)/(B3*L3))/1.46667</f>
        <v>28.499999999999996</v>
      </c>
      <c r="M24" s="143"/>
      <c r="N24" s="143"/>
      <c r="O24" s="143"/>
      <c r="P24" s="148" t="s">
        <v>104</v>
      </c>
      <c r="Q24" s="144">
        <f>L24*1.604</f>
        <v>45.714</v>
      </c>
    </row>
    <row r="25" spans="8:17" ht="12.75">
      <c r="H25" s="138"/>
      <c r="I25" s="139"/>
      <c r="J25" s="111"/>
      <c r="K25" s="150" t="s">
        <v>105</v>
      </c>
      <c r="L25" s="149">
        <f>((B3/C3)^0.3156)*G3</f>
        <v>29.1744277413046</v>
      </c>
      <c r="M25" s="138"/>
      <c r="N25" s="138"/>
      <c r="O25" s="138"/>
      <c r="P25" s="151" t="s">
        <v>106</v>
      </c>
      <c r="Q25" s="144">
        <f>L25*1.604</f>
        <v>46.79578209705258</v>
      </c>
    </row>
    <row r="26" spans="8:17" ht="12.75">
      <c r="H26" s="138"/>
      <c r="I26" s="139"/>
      <c r="J26" s="111"/>
      <c r="K26" s="152" t="s">
        <v>107</v>
      </c>
      <c r="L26" s="149">
        <f>L25-L24</f>
        <v>0.6744277413046049</v>
      </c>
      <c r="M26" s="138"/>
      <c r="N26" s="138"/>
      <c r="O26" s="138"/>
      <c r="P26" s="153" t="s">
        <v>108</v>
      </c>
      <c r="Q26" s="144">
        <f>L26*1.604</f>
        <v>1.0817820970525864</v>
      </c>
    </row>
    <row r="27" spans="8:17" ht="12.75">
      <c r="H27" s="138"/>
      <c r="I27" s="139"/>
      <c r="J27" s="111"/>
      <c r="K27" s="152"/>
      <c r="L27" s="154"/>
      <c r="M27" s="138"/>
      <c r="N27" s="138"/>
      <c r="O27" s="138"/>
      <c r="P27" s="152"/>
      <c r="Q27" s="155"/>
    </row>
    <row r="28" spans="3:17" ht="12.75">
      <c r="C28" s="156" t="s">
        <v>109</v>
      </c>
      <c r="D28" s="105" t="s">
        <v>110</v>
      </c>
      <c r="H28" s="138"/>
      <c r="I28" s="138"/>
      <c r="J28" s="111"/>
      <c r="K28" s="157" t="s">
        <v>111</v>
      </c>
      <c r="L28" s="158">
        <f>(I3/G3)*(1/24)</f>
        <v>0.03640350877192982</v>
      </c>
      <c r="M28" s="138"/>
      <c r="N28" s="138"/>
      <c r="O28" s="138"/>
      <c r="P28" s="138"/>
      <c r="Q28" s="159"/>
    </row>
    <row r="29" spans="1:17" ht="12.75">
      <c r="A29" s="129" t="s">
        <v>112</v>
      </c>
      <c r="B29" s="117">
        <v>0.6213700000000001</v>
      </c>
      <c r="C29" s="160">
        <v>20</v>
      </c>
      <c r="D29" s="137">
        <f>C29*B29</f>
        <v>12.427400000000002</v>
      </c>
      <c r="E29" s="161" t="s">
        <v>113</v>
      </c>
      <c r="H29" s="138"/>
      <c r="I29" s="138"/>
      <c r="J29" s="111"/>
      <c r="K29" s="157" t="s">
        <v>114</v>
      </c>
      <c r="L29" s="158">
        <f>((I3/(G3+L26)))*(1/24)</f>
        <v>0.03556196574615676</v>
      </c>
      <c r="M29" s="138"/>
      <c r="N29" s="138"/>
      <c r="O29" s="138"/>
      <c r="P29" s="138"/>
      <c r="Q29" s="159"/>
    </row>
    <row r="30" spans="2:17" ht="12.75">
      <c r="B30" s="117"/>
      <c r="C30" s="160"/>
      <c r="D30" s="117"/>
      <c r="J30" s="145"/>
      <c r="K30" s="146" t="s">
        <v>115</v>
      </c>
      <c r="L30" s="162">
        <f>L28-L29</f>
        <v>0.0008415430257730575</v>
      </c>
      <c r="M30" s="147"/>
      <c r="N30" s="163"/>
      <c r="O30" s="147"/>
      <c r="P30" s="147"/>
      <c r="Q30" s="164"/>
    </row>
    <row r="31" spans="1:5" ht="12.75">
      <c r="A31" s="129" t="s">
        <v>116</v>
      </c>
      <c r="B31" s="117">
        <v>2.2046</v>
      </c>
      <c r="C31" s="160">
        <v>70</v>
      </c>
      <c r="D31" s="137">
        <f>C31*B31</f>
        <v>154.322</v>
      </c>
      <c r="E31" s="161" t="s">
        <v>117</v>
      </c>
    </row>
    <row r="32" spans="1:7" ht="12.75">
      <c r="A32" s="129"/>
      <c r="B32" s="117"/>
      <c r="C32" s="160"/>
      <c r="D32" s="117"/>
      <c r="F32" s="165"/>
      <c r="G32" s="165"/>
    </row>
    <row r="33" spans="1:7" ht="12.75">
      <c r="A33" s="129" t="s">
        <v>118</v>
      </c>
      <c r="B33" s="117">
        <v>0.6213700000000001</v>
      </c>
      <c r="C33" s="166">
        <v>40</v>
      </c>
      <c r="D33" s="137">
        <f>C33*B33</f>
        <v>24.854800000000004</v>
      </c>
      <c r="E33" s="161" t="s">
        <v>119</v>
      </c>
      <c r="F33" s="165"/>
      <c r="G33" s="165"/>
    </row>
    <row r="34" spans="6:7" ht="12.75">
      <c r="F34" s="165"/>
      <c r="G34" s="165"/>
    </row>
    <row r="35" spans="5:11" ht="12.75">
      <c r="E35" s="165"/>
      <c r="F35" s="167"/>
      <c r="G35" s="167"/>
      <c r="H35" s="168"/>
      <c r="I35" s="168"/>
      <c r="J35" s="168"/>
      <c r="K35" s="168"/>
    </row>
    <row r="36" spans="6:11" ht="12.75">
      <c r="F36" s="169"/>
      <c r="G36" s="170"/>
      <c r="H36" s="170"/>
      <c r="I36" s="170"/>
      <c r="J36" s="171"/>
      <c r="K36" s="171"/>
    </row>
    <row r="37" spans="6:11" ht="12.75">
      <c r="F37" s="169"/>
      <c r="G37" s="170"/>
      <c r="H37" s="170"/>
      <c r="I37" s="170"/>
      <c r="J37" s="171"/>
      <c r="K37" s="171"/>
    </row>
    <row r="38" spans="6:11" ht="12.75">
      <c r="F38" s="168"/>
      <c r="G38" s="170"/>
      <c r="H38" s="170"/>
      <c r="I38" s="170"/>
      <c r="J38" s="170"/>
      <c r="K38" s="170"/>
    </row>
    <row r="39" spans="2:11" ht="12.75">
      <c r="B39" s="172" t="s">
        <v>120</v>
      </c>
      <c r="F39" s="170"/>
      <c r="G39" s="170"/>
      <c r="H39" s="170"/>
      <c r="I39" s="173"/>
      <c r="J39" s="170"/>
      <c r="K39" s="170"/>
    </row>
    <row r="40" spans="6:11" ht="12.75">
      <c r="F40" s="168"/>
      <c r="G40" s="168"/>
      <c r="H40" s="168"/>
      <c r="I40" s="174"/>
      <c r="J40" s="168"/>
      <c r="K40" s="168"/>
    </row>
  </sheetData>
  <sheetProtection selectLockedCells="1" selectUnlockedCells="1"/>
  <mergeCells count="8">
    <mergeCell ref="A1:M1"/>
    <mergeCell ref="N1:X1"/>
    <mergeCell ref="J7:L7"/>
    <mergeCell ref="O7:Q7"/>
    <mergeCell ref="Y8:Z8"/>
    <mergeCell ref="J14:L14"/>
    <mergeCell ref="O14:Q14"/>
    <mergeCell ref="Y14:Z14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Geoff Eaker</cp:lastModifiedBy>
  <dcterms:modified xsi:type="dcterms:W3CDTF">2016-12-02T18:41:24Z</dcterms:modified>
  <cp:category/>
  <cp:version/>
  <cp:contentType/>
  <cp:contentStatus/>
</cp:coreProperties>
</file>